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Кошторис" sheetId="1" r:id="rId1"/>
    <sheet name="Лист" sheetId="2" state="hidden" r:id="rId2"/>
  </sheets>
  <definedNames>
    <definedName name="_xlnm.Print_Titles" localSheetId="0">'Кошторис'!$7:$7</definedName>
  </definedNames>
  <calcPr fullCalcOnLoad="1"/>
</workbook>
</file>

<file path=xl/sharedStrings.xml><?xml version="1.0" encoding="utf-8"?>
<sst xmlns="http://schemas.openxmlformats.org/spreadsheetml/2006/main" count="456" uniqueCount="152">
  <si>
    <t>Затверджую: міський голова</t>
  </si>
  <si>
    <t>С.К.Нігай</t>
  </si>
  <si>
    <t>Ліміти</t>
  </si>
  <si>
    <t>використання бюджетних асигнувань</t>
  </si>
  <si>
    <t>по Апостолівській міській раді</t>
  </si>
  <si>
    <t>КЕКВ</t>
  </si>
  <si>
    <t>Одиниці виміру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</si>
  <si>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</si>
  <si>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</si>
  <si>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</si>
  <si>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</si>
  <si>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</si>
  <si>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</si>
  <si>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</si>
  <si>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</si>
  <si>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</si>
  <si>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</si>
  <si>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</si>
  <si>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</si>
  <si>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</si>
  <si>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Д/к № 1 “Малятко”</t>
  </si>
  <si>
    <t>квт.</t>
  </si>
  <si>
    <t>грн.</t>
  </si>
  <si>
    <t>Д/к № 2 “Барвінок”</t>
  </si>
  <si>
    <t>Д/к  №3 "Струмочок"</t>
  </si>
  <si>
    <t>Всього по ДДЗ</t>
  </si>
  <si>
    <t>Апостолове адмінбудівля</t>
  </si>
  <si>
    <t>Кам'янка адмінбудівля</t>
  </si>
  <si>
    <t>Михайлівка адмінбудівля</t>
  </si>
  <si>
    <t>Перше Травня адмінбудівля</t>
  </si>
  <si>
    <t>РБК "Сучасник"</t>
  </si>
  <si>
    <t xml:space="preserve"> Клуб Українка</t>
  </si>
  <si>
    <t>Клуб Перше Травня</t>
  </si>
  <si>
    <t>Будинок культури Запорізьке</t>
  </si>
  <si>
    <t>Клуб Кам"янка</t>
  </si>
  <si>
    <t>Клуб Новоіванівка</t>
  </si>
  <si>
    <t>Клуб Жовтокам"янка</t>
  </si>
  <si>
    <t>Клуб Слов"янка</t>
  </si>
  <si>
    <t>Михайлівський СБК</t>
  </si>
  <si>
    <t>Широчанський с/клуб</t>
  </si>
  <si>
    <t>М-Заводськ.с/клуб</t>
  </si>
  <si>
    <t>Катеринівськ. с/клуб</t>
  </si>
  <si>
    <t xml:space="preserve">Апостолове </t>
  </si>
  <si>
    <t xml:space="preserve">Перше Травня </t>
  </si>
  <si>
    <t>Бібліотека Перше Травня</t>
  </si>
  <si>
    <t xml:space="preserve">    грн.</t>
  </si>
  <si>
    <t>Бібліотека Запорізьке</t>
  </si>
  <si>
    <r>
      <t xml:space="preserve">     </t>
    </r>
    <r>
      <rPr>
        <sz val="12"/>
        <rFont val="Times New Roman Cyr"/>
        <family val="1"/>
      </rPr>
      <t>квт.</t>
    </r>
  </si>
  <si>
    <t>Михайлівська бібліотека</t>
  </si>
  <si>
    <t>Володимирівська бібліотека</t>
  </si>
  <si>
    <t>Широчан.бібліотека</t>
  </si>
  <si>
    <t>М.Заводськ.бібліотека</t>
  </si>
  <si>
    <t>ВСЬОГО</t>
  </si>
  <si>
    <t>Начальник фінансово-економічного відділу</t>
  </si>
  <si>
    <t>Н.В.Осипенко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</si>
  <si>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</si>
  <si>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</si>
  <si>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</si>
  <si>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</si>
  <si>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</si>
  <si>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</si>
  <si>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</si>
  <si>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</si>
  <si>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</si>
  <si>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</si>
  <si>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</si>
  <si>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</si>
  <si>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</si>
  <si>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</si>
  <si>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</si>
  <si>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</si>
  <si>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</si>
  <si>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</si>
  <si>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</si>
  <si>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</si>
  <si>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</si>
  <si>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</si>
  <si>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</si>
  <si>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</si>
  <si>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</si>
  <si>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</si>
  <si>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</si>
  <si>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</si>
  <si>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</si>
  <si>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</si>
  <si>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</si>
  <si>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</si>
  <si>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</si>
  <si>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</si>
  <si>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</si>
  <si>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</si>
  <si>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</si>
  <si>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</si>
  <si>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</si>
  <si>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</si>
  <si>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</si>
  <si>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п'ятьсот </t>
  </si>
  <si>
    <t>Настройки:</t>
  </si>
  <si>
    <t xml:space="preserve">шість </t>
  </si>
  <si>
    <t xml:space="preserve">шістдесят </t>
  </si>
  <si>
    <t xml:space="preserve">шістьсот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</si>
  <si>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</si>
  <si>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</si>
  <si>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</si>
  <si>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</si>
  <si>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</si>
  <si>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</si>
  <si>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</si>
  <si>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</si>
  <si>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</si>
  <si>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</si>
  <si>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</si>
  <si>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</si>
  <si>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дев'ятьсот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</si>
  <si>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</si>
  <si>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</si>
  <si>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</si>
  <si>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</si>
  <si>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</si>
  <si>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</si>
  <si>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</si>
  <si>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</si>
  <si>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</si>
  <si>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</si>
  <si>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</si>
  <si>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</si>
  <si>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</si>
  <si>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</si>
  <si>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</si>
  <si>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</si>
  <si>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</si>
  <si>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ЦНАП</t>
  </si>
  <si>
    <t xml:space="preserve">Михайлівка </t>
  </si>
  <si>
    <t>Жовте</t>
  </si>
  <si>
    <t>Володимирівка</t>
  </si>
  <si>
    <t>Михайлівський д/с "Калинка"</t>
  </si>
  <si>
    <t>Д/к  Українка  4,68048 "Веселка"</t>
  </si>
  <si>
    <t>ДНЗ "Казка" Перше Травня</t>
  </si>
  <si>
    <t>ДНЗ "Кульбабка"    с. Запорізьке</t>
  </si>
  <si>
    <t>Д/с "Ромашка"       с. Камянка</t>
  </si>
  <si>
    <t>Д/с "Капитошка"    с. Жовте</t>
  </si>
  <si>
    <t>0211010 Дошкільні заклади освіти</t>
  </si>
  <si>
    <t>0214030 Районні бібліотеки</t>
  </si>
  <si>
    <t>0214060 всього</t>
  </si>
  <si>
    <t>0211100 Апостолівська ШЕВ</t>
  </si>
  <si>
    <t>0214030 всього</t>
  </si>
  <si>
    <t xml:space="preserve">по електроенергії на 2019 рік </t>
  </si>
  <si>
    <t>М-Заводська</t>
  </si>
  <si>
    <t>адмінбудівля</t>
  </si>
  <si>
    <t xml:space="preserve">добавить 1250 грн надо 4500 </t>
  </si>
  <si>
    <t>1 квт =2,629836</t>
  </si>
  <si>
    <t>Вул освітл 6030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</si>
</sst>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General_)"/>
    <numFmt numFmtId="173" formatCode="0.0"/>
    <numFmt numFmtId="174" formatCode="0.000"/>
    <numFmt numFmtId="175" formatCode="0.0000"/>
    <numFmt numFmtId="176" formatCode="0.00000"/>
  </numFmts>
  <fonts count="42">
    <font>
      <sz val="10"/>
      <name val="Times New Roman 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12"/>
      <name val="Courier New"/>
      <family val="3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"/>
      <family val="2"/>
    </font>
    <font>
      <sz val="6"/>
      <color indexed="17"/>
      <name val="Arial"/>
      <family val="2"/>
    </font>
    <font>
      <sz val="8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0"/>
    </font>
    <font>
      <sz val="9"/>
      <name val="Times New Roman Cyr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1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0" xfId="0" applyFont="1" applyAlignment="1">
      <alignment/>
    </xf>
    <xf numFmtId="49" fontId="22" fillId="0" borderId="11" xfId="0" applyNumberFormat="1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1" fontId="22" fillId="0" borderId="11" xfId="0" applyNumberFormat="1" applyFont="1" applyFill="1" applyBorder="1" applyAlignment="1">
      <alignment horizontal="right" wrapText="1"/>
    </xf>
    <xf numFmtId="0" fontId="28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2" fontId="30" fillId="6" borderId="0" xfId="0" applyNumberFormat="1" applyFont="1" applyFill="1" applyAlignment="1" applyProtection="1">
      <alignment/>
      <protection/>
    </xf>
    <xf numFmtId="172" fontId="31" fillId="6" borderId="12" xfId="0" applyNumberFormat="1" applyFont="1" applyFill="1" applyBorder="1" applyAlignment="1" applyProtection="1">
      <alignment/>
      <protection/>
    </xf>
    <xf numFmtId="172" fontId="0" fillId="6" borderId="0" xfId="0" applyNumberFormat="1" applyFill="1" applyAlignment="1" applyProtection="1">
      <alignment horizontal="right"/>
      <protection/>
    </xf>
    <xf numFmtId="0" fontId="32" fillId="17" borderId="12" xfId="0" applyFont="1" applyFill="1" applyBorder="1" applyAlignment="1">
      <alignment/>
    </xf>
    <xf numFmtId="172" fontId="32" fillId="17" borderId="12" xfId="0" applyNumberFormat="1" applyFont="1" applyFill="1" applyBorder="1" applyAlignment="1" applyProtection="1">
      <alignment horizontal="left"/>
      <protection/>
    </xf>
    <xf numFmtId="172" fontId="0" fillId="0" borderId="0" xfId="0" applyNumberFormat="1" applyAlignment="1" applyProtection="1">
      <alignment/>
      <protection/>
    </xf>
    <xf numFmtId="172" fontId="31" fillId="0" borderId="0" xfId="0" applyNumberFormat="1" applyFont="1" applyAlignment="1" applyProtection="1">
      <alignment/>
      <protection/>
    </xf>
    <xf numFmtId="172" fontId="33" fillId="0" borderId="12" xfId="0" applyNumberFormat="1" applyFont="1" applyBorder="1" applyAlignment="1" applyProtection="1">
      <alignment horizontal="left"/>
      <protection/>
    </xf>
    <xf numFmtId="172" fontId="31" fillId="0" borderId="12" xfId="0" applyNumberFormat="1" applyFont="1" applyBorder="1" applyAlignment="1" applyProtection="1">
      <alignment/>
      <protection/>
    </xf>
    <xf numFmtId="172" fontId="33" fillId="0" borderId="12" xfId="0" applyNumberFormat="1" applyFont="1" applyBorder="1" applyAlignment="1" applyProtection="1">
      <alignment/>
      <protection/>
    </xf>
    <xf numFmtId="172" fontId="31" fillId="0" borderId="12" xfId="0" applyNumberFormat="1" applyFont="1" applyBorder="1" applyAlignment="1" applyProtection="1">
      <alignment horizontal="left"/>
      <protection/>
    </xf>
    <xf numFmtId="0" fontId="33" fillId="17" borderId="13" xfId="0" applyFont="1" applyFill="1" applyBorder="1" applyAlignment="1">
      <alignment horizontal="right"/>
    </xf>
    <xf numFmtId="172" fontId="33" fillId="0" borderId="13" xfId="0" applyNumberFormat="1" applyFont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0" fontId="33" fillId="17" borderId="0" xfId="0" applyFont="1" applyFill="1" applyAlignment="1">
      <alignment horizontal="right"/>
    </xf>
    <xf numFmtId="172" fontId="33" fillId="0" borderId="0" xfId="0" applyNumberFormat="1" applyFont="1" applyAlignment="1" applyProtection="1">
      <alignment/>
      <protection/>
    </xf>
    <xf numFmtId="172" fontId="33" fillId="2" borderId="0" xfId="0" applyNumberFormat="1" applyFont="1" applyFill="1" applyAlignment="1" applyProtection="1">
      <alignment/>
      <protection/>
    </xf>
    <xf numFmtId="172" fontId="0" fillId="2" borderId="0" xfId="0" applyNumberFormat="1" applyFill="1" applyAlignment="1" applyProtection="1">
      <alignment/>
      <protection/>
    </xf>
    <xf numFmtId="172" fontId="0" fillId="18" borderId="0" xfId="0" applyNumberFormat="1" applyFill="1" applyAlignment="1" applyProtection="1">
      <alignment/>
      <protection/>
    </xf>
    <xf numFmtId="172" fontId="34" fillId="19" borderId="14" xfId="0" applyNumberFormat="1" applyFont="1" applyFill="1" applyBorder="1" applyAlignment="1" applyProtection="1">
      <alignment horizontal="center"/>
      <protection/>
    </xf>
    <xf numFmtId="172" fontId="32" fillId="0" borderId="0" xfId="0" applyNumberFormat="1" applyFont="1" applyAlignment="1" applyProtection="1">
      <alignment/>
      <protection/>
    </xf>
    <xf numFmtId="172" fontId="32" fillId="17" borderId="11" xfId="0" applyNumberFormat="1" applyFont="1" applyFill="1" applyBorder="1" applyAlignment="1" applyProtection="1">
      <alignment horizontal="center"/>
      <protection/>
    </xf>
    <xf numFmtId="172" fontId="34" fillId="19" borderId="15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Alignment="1" applyProtection="1">
      <alignment horizontal="left"/>
      <protection/>
    </xf>
    <xf numFmtId="172" fontId="0" fillId="0" borderId="15" xfId="0" applyNumberFormat="1" applyFont="1" applyBorder="1" applyAlignment="1" applyProtection="1">
      <alignment horizontal="left"/>
      <protection/>
    </xf>
    <xf numFmtId="172" fontId="0" fillId="0" borderId="12" xfId="0" applyNumberFormat="1" applyFont="1" applyBorder="1" applyAlignment="1" applyProtection="1">
      <alignment horizontal="left"/>
      <protection/>
    </xf>
    <xf numFmtId="172" fontId="35" fillId="19" borderId="15" xfId="0" applyNumberFormat="1" applyFont="1" applyFill="1" applyBorder="1" applyAlignment="1" applyProtection="1">
      <alignment horizontal="left"/>
      <protection/>
    </xf>
    <xf numFmtId="172" fontId="33" fillId="0" borderId="15" xfId="0" applyNumberFormat="1" applyFont="1" applyBorder="1" applyAlignment="1" applyProtection="1">
      <alignment horizontal="left"/>
      <protection/>
    </xf>
    <xf numFmtId="172" fontId="35" fillId="19" borderId="16" xfId="0" applyNumberFormat="1" applyFont="1" applyFill="1" applyBorder="1" applyAlignment="1" applyProtection="1">
      <alignment horizontal="left"/>
      <protection/>
    </xf>
    <xf numFmtId="172" fontId="36" fillId="0" borderId="0" xfId="0" applyNumberFormat="1" applyFont="1" applyAlignment="1" applyProtection="1">
      <alignment/>
      <protection/>
    </xf>
    <xf numFmtId="172" fontId="36" fillId="0" borderId="0" xfId="0" applyNumberFormat="1" applyFont="1" applyAlignment="1" applyProtection="1">
      <alignment horizontal="right"/>
      <protection/>
    </xf>
    <xf numFmtId="172" fontId="37" fillId="0" borderId="12" xfId="0" applyNumberFormat="1" applyFont="1" applyBorder="1" applyAlignment="1" applyProtection="1">
      <alignment horizontal="right"/>
      <protection/>
    </xf>
    <xf numFmtId="172" fontId="30" fillId="19" borderId="17" xfId="0" applyNumberFormat="1" applyFont="1" applyFill="1" applyBorder="1" applyAlignment="1" applyProtection="1">
      <alignment horizontal="center"/>
      <protection/>
    </xf>
    <xf numFmtId="172" fontId="37" fillId="0" borderId="18" xfId="0" applyNumberFormat="1" applyFont="1" applyBorder="1" applyAlignment="1" applyProtection="1">
      <alignment horizontal="right"/>
      <protection/>
    </xf>
    <xf numFmtId="172" fontId="30" fillId="19" borderId="19" xfId="0" applyNumberFormat="1" applyFont="1" applyFill="1" applyBorder="1" applyAlignment="1" applyProtection="1">
      <alignment horizontal="center"/>
      <protection/>
    </xf>
    <xf numFmtId="172" fontId="33" fillId="0" borderId="16" xfId="0" applyNumberFormat="1" applyFont="1" applyBorder="1" applyAlignment="1" applyProtection="1">
      <alignment horizontal="left"/>
      <protection/>
    </xf>
    <xf numFmtId="172" fontId="33" fillId="0" borderId="18" xfId="0" applyNumberFormat="1" applyFont="1" applyBorder="1" applyAlignment="1" applyProtection="1">
      <alignment horizontal="left"/>
      <protection/>
    </xf>
    <xf numFmtId="172" fontId="33" fillId="0" borderId="0" xfId="0" applyNumberFormat="1" applyFont="1" applyBorder="1" applyAlignment="1" applyProtection="1">
      <alignment horizontal="left"/>
      <protection/>
    </xf>
    <xf numFmtId="172" fontId="33" fillId="0" borderId="14" xfId="0" applyNumberFormat="1" applyFont="1" applyBorder="1" applyAlignment="1" applyProtection="1">
      <alignment/>
      <protection/>
    </xf>
    <xf numFmtId="0" fontId="33" fillId="0" borderId="14" xfId="0" applyFont="1" applyBorder="1" applyAlignment="1">
      <alignment/>
    </xf>
    <xf numFmtId="0" fontId="33" fillId="0" borderId="0" xfId="0" applyFont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1" fontId="21" fillId="0" borderId="0" xfId="0" applyNumberFormat="1" applyFont="1" applyAlignment="1">
      <alignment/>
    </xf>
    <xf numFmtId="0" fontId="20" fillId="0" borderId="20" xfId="0" applyFont="1" applyBorder="1" applyAlignment="1">
      <alignment horizontal="center" wrapText="1"/>
    </xf>
    <xf numFmtId="1" fontId="22" fillId="0" borderId="2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20" fillId="0" borderId="21" xfId="0" applyFont="1" applyBorder="1" applyAlignment="1">
      <alignment horizontal="center" wrapText="1"/>
    </xf>
    <xf numFmtId="1" fontId="22" fillId="0" borderId="21" xfId="0" applyNumberFormat="1" applyFont="1" applyFill="1" applyBorder="1" applyAlignment="1">
      <alignment horizontal="right" wrapText="1"/>
    </xf>
    <xf numFmtId="1" fontId="22" fillId="20" borderId="21" xfId="0" applyNumberFormat="1" applyFont="1" applyFill="1" applyBorder="1" applyAlignment="1">
      <alignment horizontal="right" wrapText="1"/>
    </xf>
    <xf numFmtId="2" fontId="21" fillId="0" borderId="0" xfId="0" applyNumberFormat="1" applyFont="1" applyAlignment="1">
      <alignment/>
    </xf>
    <xf numFmtId="0" fontId="19" fillId="20" borderId="11" xfId="0" applyFont="1" applyFill="1" applyBorder="1" applyAlignment="1">
      <alignment horizontal="right" wrapText="1"/>
    </xf>
    <xf numFmtId="0" fontId="19" fillId="20" borderId="20" xfId="0" applyFont="1" applyFill="1" applyBorder="1" applyAlignment="1">
      <alignment horizontal="right" wrapText="1"/>
    </xf>
    <xf numFmtId="0" fontId="19" fillId="20" borderId="21" xfId="0" applyFont="1" applyFill="1" applyBorder="1" applyAlignment="1">
      <alignment horizontal="right" wrapText="1"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21" borderId="11" xfId="0" applyFont="1" applyFill="1" applyBorder="1" applyAlignment="1">
      <alignment horizontal="right" wrapText="1"/>
    </xf>
    <xf numFmtId="0" fontId="22" fillId="21" borderId="20" xfId="0" applyFont="1" applyFill="1" applyBorder="1" applyAlignment="1">
      <alignment horizontal="right" wrapText="1"/>
    </xf>
    <xf numFmtId="0" fontId="22" fillId="21" borderId="21" xfId="0" applyFont="1" applyFill="1" applyBorder="1" applyAlignment="1">
      <alignment horizontal="right" wrapText="1"/>
    </xf>
    <xf numFmtId="2" fontId="22" fillId="21" borderId="11" xfId="0" applyNumberFormat="1" applyFont="1" applyFill="1" applyBorder="1" applyAlignment="1">
      <alignment horizontal="right" wrapText="1"/>
    </xf>
    <xf numFmtId="0" fontId="21" fillId="0" borderId="21" xfId="0" applyFont="1" applyBorder="1" applyAlignment="1">
      <alignment/>
    </xf>
    <xf numFmtId="0" fontId="39" fillId="0" borderId="21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1" fontId="21" fillId="0" borderId="21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 wrapText="1"/>
    </xf>
    <xf numFmtId="0" fontId="22" fillId="20" borderId="11" xfId="0" applyFont="1" applyFill="1" applyBorder="1" applyAlignment="1">
      <alignment horizontal="right" wrapText="1"/>
    </xf>
    <xf numFmtId="1" fontId="22" fillId="21" borderId="11" xfId="0" applyNumberFormat="1" applyFont="1" applyFill="1" applyBorder="1" applyAlignment="1">
      <alignment horizontal="right" wrapText="1"/>
    </xf>
    <xf numFmtId="1" fontId="22" fillId="21" borderId="20" xfId="0" applyNumberFormat="1" applyFont="1" applyFill="1" applyBorder="1" applyAlignment="1">
      <alignment horizontal="right" wrapText="1"/>
    </xf>
    <xf numFmtId="1" fontId="22" fillId="21" borderId="21" xfId="0" applyNumberFormat="1" applyFont="1" applyFill="1" applyBorder="1" applyAlignment="1">
      <alignment horizontal="right" wrapText="1"/>
    </xf>
    <xf numFmtId="1" fontId="19" fillId="20" borderId="11" xfId="0" applyNumberFormat="1" applyFont="1" applyFill="1" applyBorder="1" applyAlignment="1">
      <alignment horizontal="right" wrapText="1"/>
    </xf>
    <xf numFmtId="1" fontId="19" fillId="20" borderId="20" xfId="0" applyNumberFormat="1" applyFont="1" applyFill="1" applyBorder="1" applyAlignment="1">
      <alignment horizontal="right" wrapText="1"/>
    </xf>
    <xf numFmtId="1" fontId="19" fillId="20" borderId="21" xfId="0" applyNumberFormat="1" applyFont="1" applyFill="1" applyBorder="1" applyAlignment="1">
      <alignment horizontal="right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1" fontId="22" fillId="20" borderId="11" xfId="0" applyNumberFormat="1" applyFont="1" applyFill="1" applyBorder="1" applyAlignment="1">
      <alignment horizontal="right" wrapText="1"/>
    </xf>
    <xf numFmtId="1" fontId="22" fillId="20" borderId="20" xfId="0" applyNumberFormat="1" applyFont="1" applyFill="1" applyBorder="1" applyAlignment="1">
      <alignment horizontal="right" wrapText="1"/>
    </xf>
    <xf numFmtId="1" fontId="41" fillId="0" borderId="21" xfId="0" applyNumberFormat="1" applyFont="1" applyBorder="1" applyAlignment="1">
      <alignment/>
    </xf>
    <xf numFmtId="1" fontId="21" fillId="0" borderId="21" xfId="0" applyNumberFormat="1" applyFont="1" applyBorder="1" applyAlignment="1">
      <alignment/>
    </xf>
    <xf numFmtId="0" fontId="40" fillId="0" borderId="21" xfId="0" applyFont="1" applyBorder="1" applyAlignment="1">
      <alignment/>
    </xf>
    <xf numFmtId="0" fontId="21" fillId="20" borderId="0" xfId="0" applyFont="1" applyFill="1" applyAlignment="1">
      <alignment/>
    </xf>
    <xf numFmtId="1" fontId="19" fillId="0" borderId="0" xfId="0" applyNumberFormat="1" applyFont="1" applyFill="1" applyBorder="1" applyAlignment="1">
      <alignment horizontal="right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" fontId="39" fillId="0" borderId="21" xfId="0" applyNumberFormat="1" applyFont="1" applyFill="1" applyBorder="1" applyAlignment="1">
      <alignment/>
    </xf>
    <xf numFmtId="1" fontId="40" fillId="0" borderId="21" xfId="0" applyNumberFormat="1" applyFont="1" applyFill="1" applyBorder="1" applyAlignment="1">
      <alignment/>
    </xf>
    <xf numFmtId="1" fontId="19" fillId="20" borderId="11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1" fontId="21" fillId="0" borderId="0" xfId="0" applyNumberFormat="1" applyFont="1" applyBorder="1" applyAlignment="1">
      <alignment/>
    </xf>
    <xf numFmtId="1" fontId="21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 horizontal="right" wrapText="1"/>
    </xf>
    <xf numFmtId="1" fontId="19" fillId="0" borderId="21" xfId="0" applyNumberFormat="1" applyFont="1" applyFill="1" applyBorder="1" applyAlignment="1">
      <alignment horizontal="right" wrapText="1"/>
    </xf>
    <xf numFmtId="1" fontId="19" fillId="0" borderId="11" xfId="0" applyNumberFormat="1" applyFont="1" applyFill="1" applyBorder="1" applyAlignment="1">
      <alignment horizontal="right" wrapText="1"/>
    </xf>
    <xf numFmtId="0" fontId="19" fillId="0" borderId="20" xfId="0" applyFont="1" applyFill="1" applyBorder="1" applyAlignment="1">
      <alignment horizontal="right" wrapText="1"/>
    </xf>
    <xf numFmtId="1" fontId="19" fillId="0" borderId="20" xfId="0" applyNumberFormat="1" applyFont="1" applyFill="1" applyBorder="1" applyAlignment="1">
      <alignment horizontal="right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32" fillId="22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08"/>
  <sheetViews>
    <sheetView showZeros="0" tabSelected="1" zoomScale="90" zoomScaleNormal="90" zoomScaleSheetLayoutView="75" zoomScalePageLayoutView="0" workbookViewId="0" topLeftCell="A1">
      <pane xSplit="3" ySplit="7" topLeftCell="D6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35" sqref="P35"/>
    </sheetView>
  </sheetViews>
  <sheetFormatPr defaultColWidth="9.00390625" defaultRowHeight="12.75"/>
  <cols>
    <col min="1" max="1" width="22.50390625" style="0" customWidth="1"/>
    <col min="3" max="3" width="12.375" style="0" customWidth="1"/>
    <col min="4" max="4" width="16.375" style="0" customWidth="1"/>
    <col min="5" max="5" width="15.375" style="0" customWidth="1"/>
    <col min="6" max="6" width="13.375" style="0" customWidth="1"/>
    <col min="7" max="7" width="12.625" style="0" customWidth="1"/>
    <col min="8" max="8" width="12.875" style="0" customWidth="1"/>
    <col min="9" max="9" width="12.50390625" style="0" customWidth="1"/>
    <col min="10" max="10" width="13.00390625" style="0" customWidth="1"/>
    <col min="11" max="11" width="11.625" style="0" customWidth="1"/>
    <col min="12" max="12" width="11.50390625" style="0" customWidth="1"/>
    <col min="13" max="13" width="12.50390625" style="0" customWidth="1"/>
    <col min="14" max="14" width="12.875" style="0" customWidth="1"/>
    <col min="15" max="15" width="13.625" style="0" customWidth="1"/>
    <col min="16" max="16" width="17.00390625" style="0" customWidth="1"/>
    <col min="17" max="17" width="20.125" style="66" customWidth="1"/>
    <col min="18" max="19" width="9.875" style="0" bestFit="1" customWidth="1"/>
    <col min="21" max="21" width="11.875" style="0" bestFit="1" customWidth="1"/>
    <col min="23" max="23" width="11.875" style="0" bestFit="1" customWidth="1"/>
  </cols>
  <sheetData>
    <row r="1" ht="12.75">
      <c r="J1" t="s">
        <v>0</v>
      </c>
    </row>
    <row r="2" spans="10:12" ht="12.75">
      <c r="J2" s="1"/>
      <c r="K2" s="1"/>
      <c r="L2" t="s">
        <v>1</v>
      </c>
    </row>
    <row r="3" spans="1:16" ht="15.75" customHeight="1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.75" customHeight="1">
      <c r="A4" s="124" t="s">
        <v>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22.5" customHeight="1">
      <c r="A5" s="124" t="s">
        <v>146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5.75" customHeight="1" hidden="1">
      <c r="A6" s="124" t="s">
        <v>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7" s="4" customFormat="1" ht="27" customHeight="1">
      <c r="A7" s="2" t="s">
        <v>150</v>
      </c>
      <c r="B7" s="2" t="s">
        <v>5</v>
      </c>
      <c r="C7" s="2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64" t="s">
        <v>18</v>
      </c>
      <c r="P7" s="67" t="s">
        <v>19</v>
      </c>
      <c r="Q7" s="80"/>
    </row>
    <row r="8" spans="1:17" s="4" customFormat="1" ht="51.75" customHeight="1">
      <c r="A8" s="5" t="s">
        <v>141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4"/>
      <c r="P8" s="67"/>
      <c r="Q8" s="102"/>
    </row>
    <row r="9" spans="1:17" s="4" customFormat="1" ht="15.75" customHeight="1">
      <c r="A9" s="123" t="s">
        <v>20</v>
      </c>
      <c r="B9" s="123">
        <v>2273</v>
      </c>
      <c r="C9" s="6" t="s">
        <v>21</v>
      </c>
      <c r="D9" s="91">
        <v>7156.5</v>
      </c>
      <c r="E9" s="71">
        <v>7100</v>
      </c>
      <c r="F9" s="71">
        <v>7100</v>
      </c>
      <c r="G9" s="71">
        <v>7100</v>
      </c>
      <c r="H9" s="71">
        <v>7100</v>
      </c>
      <c r="I9" s="71">
        <v>7100</v>
      </c>
      <c r="J9" s="71">
        <v>7100</v>
      </c>
      <c r="K9" s="71">
        <v>7100</v>
      </c>
      <c r="L9" s="71">
        <v>7100</v>
      </c>
      <c r="M9" s="71">
        <v>7200</v>
      </c>
      <c r="N9" s="71">
        <v>7200</v>
      </c>
      <c r="O9" s="71">
        <v>7200</v>
      </c>
      <c r="P9" s="93">
        <f aca="true" t="shared" si="0" ref="P9:P25">SUM(D9:O9)</f>
        <v>85556.5</v>
      </c>
      <c r="Q9" s="80"/>
    </row>
    <row r="10" spans="1:17" s="4" customFormat="1" ht="15.75">
      <c r="A10" s="123"/>
      <c r="B10" s="123"/>
      <c r="C10" s="6" t="s">
        <v>22</v>
      </c>
      <c r="D10" s="110">
        <f>2.629836*D9</f>
        <v>18820.421334</v>
      </c>
      <c r="E10" s="110">
        <f aca="true" t="shared" si="1" ref="E10:O10">2.629836*E9</f>
        <v>18671.835600000002</v>
      </c>
      <c r="F10" s="110">
        <f t="shared" si="1"/>
        <v>18671.835600000002</v>
      </c>
      <c r="G10" s="110">
        <f t="shared" si="1"/>
        <v>18671.835600000002</v>
      </c>
      <c r="H10" s="110">
        <f t="shared" si="1"/>
        <v>18671.835600000002</v>
      </c>
      <c r="I10" s="110">
        <f t="shared" si="1"/>
        <v>18671.835600000002</v>
      </c>
      <c r="J10" s="110">
        <f t="shared" si="1"/>
        <v>18671.835600000002</v>
      </c>
      <c r="K10" s="110">
        <f t="shared" si="1"/>
        <v>18671.835600000002</v>
      </c>
      <c r="L10" s="110">
        <f t="shared" si="1"/>
        <v>18671.835600000002</v>
      </c>
      <c r="M10" s="110">
        <f t="shared" si="1"/>
        <v>18934.8192</v>
      </c>
      <c r="N10" s="110">
        <f t="shared" si="1"/>
        <v>18934.8192</v>
      </c>
      <c r="O10" s="110">
        <f t="shared" si="1"/>
        <v>18934.8192</v>
      </c>
      <c r="P10" s="93">
        <f>D10+E10+F10+G10+H10+I10+J10+K10+L10+M10+N10+O10</f>
        <v>224999.56373400002</v>
      </c>
      <c r="Q10" s="80"/>
    </row>
    <row r="11" spans="1:17" s="4" customFormat="1" ht="15.75" customHeight="1">
      <c r="A11" s="123" t="s">
        <v>23</v>
      </c>
      <c r="B11" s="123">
        <v>2273</v>
      </c>
      <c r="C11" s="6" t="s">
        <v>21</v>
      </c>
      <c r="D11" s="71">
        <v>2500</v>
      </c>
      <c r="E11" s="71">
        <v>2500</v>
      </c>
      <c r="F11" s="71">
        <v>2500</v>
      </c>
      <c r="G11" s="71">
        <v>2400</v>
      </c>
      <c r="H11" s="71">
        <v>2400</v>
      </c>
      <c r="I11" s="71">
        <v>2400</v>
      </c>
      <c r="J11" s="71">
        <v>2400</v>
      </c>
      <c r="K11" s="71">
        <v>2500</v>
      </c>
      <c r="L11" s="71">
        <v>2500</v>
      </c>
      <c r="M11" s="71">
        <v>2500</v>
      </c>
      <c r="N11" s="71">
        <v>2500</v>
      </c>
      <c r="O11" s="91">
        <v>2559.6</v>
      </c>
      <c r="P11" s="93">
        <f t="shared" si="0"/>
        <v>29659.6</v>
      </c>
      <c r="Q11" s="80"/>
    </row>
    <row r="12" spans="1:17" s="4" customFormat="1" ht="15.75">
      <c r="A12" s="123"/>
      <c r="B12" s="123"/>
      <c r="C12" s="6" t="s">
        <v>22</v>
      </c>
      <c r="D12" s="91">
        <f>2.629836*D11</f>
        <v>6574.59</v>
      </c>
      <c r="E12" s="91">
        <f>2.629836*E11</f>
        <v>6574.59</v>
      </c>
      <c r="F12" s="91">
        <f aca="true" t="shared" si="2" ref="F12:O12">2.629836*F11</f>
        <v>6574.59</v>
      </c>
      <c r="G12" s="91">
        <f t="shared" si="2"/>
        <v>6311.606400000001</v>
      </c>
      <c r="H12" s="91">
        <f t="shared" si="2"/>
        <v>6311.606400000001</v>
      </c>
      <c r="I12" s="91">
        <f t="shared" si="2"/>
        <v>6311.606400000001</v>
      </c>
      <c r="J12" s="91">
        <f t="shared" si="2"/>
        <v>6311.606400000001</v>
      </c>
      <c r="K12" s="91">
        <f t="shared" si="2"/>
        <v>6574.59</v>
      </c>
      <c r="L12" s="91">
        <f t="shared" si="2"/>
        <v>6574.59</v>
      </c>
      <c r="M12" s="91">
        <f t="shared" si="2"/>
        <v>6574.59</v>
      </c>
      <c r="N12" s="91">
        <f t="shared" si="2"/>
        <v>6574.59</v>
      </c>
      <c r="O12" s="91">
        <f t="shared" si="2"/>
        <v>6731.3282256</v>
      </c>
      <c r="P12" s="93">
        <f>D12+E12+F12+G12+H12+I12+J12+K12+L12+M12+N12+O12</f>
        <v>77999.88382559999</v>
      </c>
      <c r="Q12" s="80"/>
    </row>
    <row r="13" spans="1:17" s="4" customFormat="1" ht="15.75" customHeight="1">
      <c r="A13" s="123" t="s">
        <v>24</v>
      </c>
      <c r="B13" s="123">
        <v>2273</v>
      </c>
      <c r="C13" s="6" t="s">
        <v>21</v>
      </c>
      <c r="D13" s="71">
        <v>2400</v>
      </c>
      <c r="E13" s="71">
        <v>2400</v>
      </c>
      <c r="F13" s="71">
        <v>2400</v>
      </c>
      <c r="G13" s="71">
        <v>2400</v>
      </c>
      <c r="H13" s="71">
        <v>2400</v>
      </c>
      <c r="I13" s="71">
        <v>2400</v>
      </c>
      <c r="J13" s="71">
        <v>2300</v>
      </c>
      <c r="K13" s="71">
        <v>2300</v>
      </c>
      <c r="L13" s="71">
        <v>2350</v>
      </c>
      <c r="M13" s="71">
        <v>2369</v>
      </c>
      <c r="N13" s="71">
        <v>2400</v>
      </c>
      <c r="O13" s="71">
        <v>2400</v>
      </c>
      <c r="P13" s="73">
        <f t="shared" si="0"/>
        <v>28519</v>
      </c>
      <c r="Q13" s="80"/>
    </row>
    <row r="14" spans="1:17" s="4" customFormat="1" ht="15.75">
      <c r="A14" s="123"/>
      <c r="B14" s="123"/>
      <c r="C14" s="6" t="s">
        <v>22</v>
      </c>
      <c r="D14" s="91">
        <f>2.629836*D13</f>
        <v>6311.606400000001</v>
      </c>
      <c r="E14" s="91">
        <f aca="true" t="shared" si="3" ref="E14:O14">2.629836*E13</f>
        <v>6311.606400000001</v>
      </c>
      <c r="F14" s="91">
        <f t="shared" si="3"/>
        <v>6311.606400000001</v>
      </c>
      <c r="G14" s="91">
        <f t="shared" si="3"/>
        <v>6311.606400000001</v>
      </c>
      <c r="H14" s="91">
        <f t="shared" si="3"/>
        <v>6311.606400000001</v>
      </c>
      <c r="I14" s="91">
        <f t="shared" si="3"/>
        <v>6311.606400000001</v>
      </c>
      <c r="J14" s="91">
        <f t="shared" si="3"/>
        <v>6048.6228</v>
      </c>
      <c r="K14" s="91">
        <f t="shared" si="3"/>
        <v>6048.6228</v>
      </c>
      <c r="L14" s="91">
        <f t="shared" si="3"/>
        <v>6180.1146</v>
      </c>
      <c r="M14" s="91">
        <f t="shared" si="3"/>
        <v>6230.081484</v>
      </c>
      <c r="N14" s="91">
        <f t="shared" si="3"/>
        <v>6311.606400000001</v>
      </c>
      <c r="O14" s="91">
        <f t="shared" si="3"/>
        <v>6311.606400000001</v>
      </c>
      <c r="P14" s="93">
        <f>D14+E14+F14+G14+H14+I14+J14+K14+L14+M14+N14+O14</f>
        <v>75000.29288400001</v>
      </c>
      <c r="Q14" s="80"/>
    </row>
    <row r="15" spans="1:17" s="74" customFormat="1" ht="18.75" customHeight="1">
      <c r="A15" s="125" t="s">
        <v>136</v>
      </c>
      <c r="B15" s="125">
        <v>2273</v>
      </c>
      <c r="C15" s="6" t="s">
        <v>21</v>
      </c>
      <c r="D15" s="114">
        <v>18990</v>
      </c>
      <c r="E15" s="114">
        <v>18989</v>
      </c>
      <c r="F15" s="114">
        <v>18989</v>
      </c>
      <c r="G15" s="114">
        <v>18490</v>
      </c>
      <c r="H15" s="114">
        <v>3588</v>
      </c>
      <c r="I15" s="114">
        <v>3584</v>
      </c>
      <c r="J15" s="114">
        <v>3584</v>
      </c>
      <c r="K15" s="114">
        <v>3583</v>
      </c>
      <c r="L15" s="114">
        <v>3584</v>
      </c>
      <c r="M15" s="116">
        <v>18687</v>
      </c>
      <c r="N15" s="114">
        <v>18988</v>
      </c>
      <c r="O15" s="114">
        <v>18987</v>
      </c>
      <c r="P15" s="115">
        <f t="shared" si="0"/>
        <v>150043</v>
      </c>
      <c r="Q15" s="82"/>
    </row>
    <row r="16" spans="1:17" s="74" customFormat="1" ht="15.75">
      <c r="A16" s="125"/>
      <c r="B16" s="125"/>
      <c r="C16" s="6" t="s">
        <v>22</v>
      </c>
      <c r="D16" s="116">
        <f aca="true" t="shared" si="4" ref="D16:O16">2.629836*D15</f>
        <v>49940.585640000005</v>
      </c>
      <c r="E16" s="116">
        <f t="shared" si="4"/>
        <v>49937.955804000005</v>
      </c>
      <c r="F16" s="116">
        <f t="shared" si="4"/>
        <v>49937.955804000005</v>
      </c>
      <c r="G16" s="116">
        <f t="shared" si="4"/>
        <v>48625.66764</v>
      </c>
      <c r="H16" s="116">
        <f t="shared" si="4"/>
        <v>9435.851568</v>
      </c>
      <c r="I16" s="116">
        <f t="shared" si="4"/>
        <v>9425.332224</v>
      </c>
      <c r="J16" s="116">
        <f t="shared" si="4"/>
        <v>9425.332224</v>
      </c>
      <c r="K16" s="116">
        <f t="shared" si="4"/>
        <v>9422.702388</v>
      </c>
      <c r="L16" s="116">
        <f t="shared" si="4"/>
        <v>9425.332224</v>
      </c>
      <c r="M16" s="116">
        <f t="shared" si="4"/>
        <v>49143.745332</v>
      </c>
      <c r="N16" s="116">
        <f t="shared" si="4"/>
        <v>49935.325968000005</v>
      </c>
      <c r="O16" s="116">
        <f t="shared" si="4"/>
        <v>49932.696132000005</v>
      </c>
      <c r="P16" s="115">
        <f>D16+E16+F16+G16+H16+I16+J16+K16+L16+M16+N16+O16</f>
        <v>394588.4829480001</v>
      </c>
      <c r="Q16" s="82"/>
    </row>
    <row r="17" spans="1:17" s="4" customFormat="1" ht="15.75" customHeight="1">
      <c r="A17" s="123" t="s">
        <v>137</v>
      </c>
      <c r="B17" s="123">
        <v>2273</v>
      </c>
      <c r="C17" s="6" t="s">
        <v>21</v>
      </c>
      <c r="D17" s="71">
        <v>1200</v>
      </c>
      <c r="E17" s="71">
        <v>1100</v>
      </c>
      <c r="F17" s="71">
        <v>900</v>
      </c>
      <c r="G17" s="71">
        <v>700</v>
      </c>
      <c r="H17" s="71">
        <v>500</v>
      </c>
      <c r="I17" s="91">
        <v>514.8</v>
      </c>
      <c r="J17" s="71">
        <v>600</v>
      </c>
      <c r="K17" s="71">
        <v>600</v>
      </c>
      <c r="L17" s="71">
        <v>600</v>
      </c>
      <c r="M17" s="71">
        <v>1000</v>
      </c>
      <c r="N17" s="71">
        <v>1200</v>
      </c>
      <c r="O17" s="72">
        <v>1200</v>
      </c>
      <c r="P17" s="93">
        <f t="shared" si="0"/>
        <v>10114.8</v>
      </c>
      <c r="Q17" s="80"/>
    </row>
    <row r="18" spans="1:17" s="4" customFormat="1" ht="20.25" customHeight="1">
      <c r="A18" s="123"/>
      <c r="B18" s="123"/>
      <c r="C18" s="6" t="s">
        <v>22</v>
      </c>
      <c r="D18" s="91">
        <f aca="true" t="shared" si="5" ref="D18:O18">2.629836*D17</f>
        <v>3155.8032000000003</v>
      </c>
      <c r="E18" s="91">
        <f t="shared" si="5"/>
        <v>2892.8196000000003</v>
      </c>
      <c r="F18" s="91">
        <f t="shared" si="5"/>
        <v>2366.8524</v>
      </c>
      <c r="G18" s="91">
        <f t="shared" si="5"/>
        <v>1840.8852</v>
      </c>
      <c r="H18" s="91">
        <f t="shared" si="5"/>
        <v>1314.9180000000001</v>
      </c>
      <c r="I18" s="91">
        <f t="shared" si="5"/>
        <v>1353.8395727999998</v>
      </c>
      <c r="J18" s="91">
        <f t="shared" si="5"/>
        <v>1577.9016000000001</v>
      </c>
      <c r="K18" s="91">
        <f t="shared" si="5"/>
        <v>1577.9016000000001</v>
      </c>
      <c r="L18" s="91">
        <f t="shared" si="5"/>
        <v>1577.9016000000001</v>
      </c>
      <c r="M18" s="91">
        <f t="shared" si="5"/>
        <v>2629.8360000000002</v>
      </c>
      <c r="N18" s="91">
        <f t="shared" si="5"/>
        <v>3155.8032000000003</v>
      </c>
      <c r="O18" s="91">
        <f t="shared" si="5"/>
        <v>3155.8032000000003</v>
      </c>
      <c r="P18" s="93">
        <f>D18+E18+F18+G18+H18+I18+J18+K18+L18+M18+N18+O18</f>
        <v>26600.265172800006</v>
      </c>
      <c r="Q18" s="80"/>
    </row>
    <row r="19" spans="1:17" s="4" customFormat="1" ht="20.25" customHeight="1">
      <c r="A19" s="123" t="s">
        <v>138</v>
      </c>
      <c r="B19" s="123">
        <v>2273</v>
      </c>
      <c r="C19" s="6" t="s">
        <v>21</v>
      </c>
      <c r="D19" s="71">
        <v>1000</v>
      </c>
      <c r="E19" s="71">
        <v>1000</v>
      </c>
      <c r="F19" s="71">
        <v>900</v>
      </c>
      <c r="G19" s="71">
        <v>700</v>
      </c>
      <c r="H19" s="71">
        <v>700</v>
      </c>
      <c r="I19" s="71">
        <v>500</v>
      </c>
      <c r="J19" s="91">
        <v>511.4</v>
      </c>
      <c r="K19" s="71">
        <v>600</v>
      </c>
      <c r="L19" s="71">
        <v>600</v>
      </c>
      <c r="M19" s="71">
        <v>800</v>
      </c>
      <c r="N19" s="71">
        <v>1000</v>
      </c>
      <c r="O19" s="72">
        <v>1100</v>
      </c>
      <c r="P19" s="93">
        <f t="shared" si="0"/>
        <v>9411.4</v>
      </c>
      <c r="Q19" s="80"/>
    </row>
    <row r="20" spans="1:17" s="4" customFormat="1" ht="20.25" customHeight="1">
      <c r="A20" s="123"/>
      <c r="B20" s="123"/>
      <c r="C20" s="6" t="s">
        <v>22</v>
      </c>
      <c r="D20" s="91">
        <f aca="true" t="shared" si="6" ref="D20:O20">2.629836*D19</f>
        <v>2629.8360000000002</v>
      </c>
      <c r="E20" s="91">
        <f t="shared" si="6"/>
        <v>2629.8360000000002</v>
      </c>
      <c r="F20" s="91">
        <f t="shared" si="6"/>
        <v>2366.8524</v>
      </c>
      <c r="G20" s="91">
        <f t="shared" si="6"/>
        <v>1840.8852</v>
      </c>
      <c r="H20" s="91">
        <f t="shared" si="6"/>
        <v>1840.8852</v>
      </c>
      <c r="I20" s="91">
        <f t="shared" si="6"/>
        <v>1314.9180000000001</v>
      </c>
      <c r="J20" s="91">
        <f t="shared" si="6"/>
        <v>1344.8981304</v>
      </c>
      <c r="K20" s="91">
        <f t="shared" si="6"/>
        <v>1577.9016000000001</v>
      </c>
      <c r="L20" s="91">
        <f t="shared" si="6"/>
        <v>1577.9016000000001</v>
      </c>
      <c r="M20" s="91">
        <f t="shared" si="6"/>
        <v>2103.8688</v>
      </c>
      <c r="N20" s="91">
        <f t="shared" si="6"/>
        <v>2629.8360000000002</v>
      </c>
      <c r="O20" s="92">
        <f t="shared" si="6"/>
        <v>2892.8196000000003</v>
      </c>
      <c r="P20" s="93">
        <f>D20+E20+F20+G20+H20+I20+J20+K20+L20+M20+N20+O20</f>
        <v>24750.438530400002</v>
      </c>
      <c r="Q20" s="80"/>
    </row>
    <row r="21" spans="1:17" s="74" customFormat="1" ht="20.25" customHeight="1">
      <c r="A21" s="125" t="s">
        <v>139</v>
      </c>
      <c r="B21" s="125">
        <v>2273</v>
      </c>
      <c r="C21" s="6" t="s">
        <v>21</v>
      </c>
      <c r="D21" s="114">
        <v>13108</v>
      </c>
      <c r="E21" s="114">
        <v>13018</v>
      </c>
      <c r="F21" s="114">
        <v>10076</v>
      </c>
      <c r="G21" s="114">
        <v>7783</v>
      </c>
      <c r="H21" s="114">
        <v>1533</v>
      </c>
      <c r="I21" s="114">
        <v>1417</v>
      </c>
      <c r="J21" s="114">
        <v>1435</v>
      </c>
      <c r="K21" s="114">
        <v>1435</v>
      </c>
      <c r="L21" s="114">
        <v>1454</v>
      </c>
      <c r="M21" s="114">
        <v>10896</v>
      </c>
      <c r="N21" s="116">
        <v>10919</v>
      </c>
      <c r="O21" s="117">
        <v>13190</v>
      </c>
      <c r="P21" s="115">
        <f t="shared" si="0"/>
        <v>86264</v>
      </c>
      <c r="Q21" s="82"/>
    </row>
    <row r="22" spans="1:21" s="74" customFormat="1" ht="20.25" customHeight="1">
      <c r="A22" s="125"/>
      <c r="B22" s="125"/>
      <c r="C22" s="6" t="s">
        <v>22</v>
      </c>
      <c r="D22" s="116">
        <f aca="true" t="shared" si="7" ref="D22:O22">2.629836*D21</f>
        <v>34471.890288</v>
      </c>
      <c r="E22" s="116">
        <f t="shared" si="7"/>
        <v>34235.205048</v>
      </c>
      <c r="F22" s="116">
        <f t="shared" si="7"/>
        <v>26498.227536000002</v>
      </c>
      <c r="G22" s="116">
        <f t="shared" si="7"/>
        <v>20468.013588</v>
      </c>
      <c r="H22" s="116">
        <f t="shared" si="7"/>
        <v>4031.538588</v>
      </c>
      <c r="I22" s="116">
        <f t="shared" si="7"/>
        <v>3726.477612</v>
      </c>
      <c r="J22" s="116">
        <f t="shared" si="7"/>
        <v>3773.81466</v>
      </c>
      <c r="K22" s="116">
        <f t="shared" si="7"/>
        <v>3773.81466</v>
      </c>
      <c r="L22" s="116">
        <f t="shared" si="7"/>
        <v>3823.781544</v>
      </c>
      <c r="M22" s="116">
        <f t="shared" si="7"/>
        <v>28654.693056</v>
      </c>
      <c r="N22" s="116">
        <f t="shared" si="7"/>
        <v>28715.179284</v>
      </c>
      <c r="O22" s="118">
        <f t="shared" si="7"/>
        <v>34687.53684</v>
      </c>
      <c r="P22" s="115">
        <f>D22+E22+F22+G22+H22+I22+J22+K22+L22+M22+N22+O22</f>
        <v>226860.17270400003</v>
      </c>
      <c r="Q22" s="82"/>
      <c r="U22" s="113"/>
    </row>
    <row r="23" spans="1:17" s="4" customFormat="1" ht="20.25" customHeight="1">
      <c r="A23" s="123" t="s">
        <v>140</v>
      </c>
      <c r="B23" s="123">
        <v>2273</v>
      </c>
      <c r="C23" s="6" t="s">
        <v>21</v>
      </c>
      <c r="D23" s="71">
        <v>2300</v>
      </c>
      <c r="E23" s="71">
        <v>2300</v>
      </c>
      <c r="F23" s="71">
        <v>1800</v>
      </c>
      <c r="G23" s="71">
        <v>1500</v>
      </c>
      <c r="H23" s="71">
        <v>1500</v>
      </c>
      <c r="I23" s="71">
        <v>1500</v>
      </c>
      <c r="J23" s="71">
        <v>1500</v>
      </c>
      <c r="K23" s="71">
        <v>1500</v>
      </c>
      <c r="L23" s="71">
        <v>1422</v>
      </c>
      <c r="M23" s="71">
        <v>1800</v>
      </c>
      <c r="N23" s="71">
        <v>2300</v>
      </c>
      <c r="O23" s="72">
        <v>2300</v>
      </c>
      <c r="P23" s="73">
        <f t="shared" si="0"/>
        <v>21722</v>
      </c>
      <c r="Q23" s="80"/>
    </row>
    <row r="24" spans="1:17" s="4" customFormat="1" ht="20.25" customHeight="1">
      <c r="A24" s="123"/>
      <c r="B24" s="123"/>
      <c r="C24" s="6" t="s">
        <v>22</v>
      </c>
      <c r="D24" s="91">
        <f aca="true" t="shared" si="8" ref="D24:O24">2.629836*D23</f>
        <v>6048.6228</v>
      </c>
      <c r="E24" s="91">
        <f t="shared" si="8"/>
        <v>6048.6228</v>
      </c>
      <c r="F24" s="91">
        <f t="shared" si="8"/>
        <v>4733.7048</v>
      </c>
      <c r="G24" s="91">
        <f t="shared" si="8"/>
        <v>3944.754</v>
      </c>
      <c r="H24" s="91">
        <f t="shared" si="8"/>
        <v>3944.754</v>
      </c>
      <c r="I24" s="91">
        <f t="shared" si="8"/>
        <v>3944.754</v>
      </c>
      <c r="J24" s="91">
        <f t="shared" si="8"/>
        <v>3944.754</v>
      </c>
      <c r="K24" s="91">
        <f t="shared" si="8"/>
        <v>3944.754</v>
      </c>
      <c r="L24" s="91">
        <f t="shared" si="8"/>
        <v>3739.626792</v>
      </c>
      <c r="M24" s="91">
        <f t="shared" si="8"/>
        <v>4733.7048</v>
      </c>
      <c r="N24" s="91">
        <f t="shared" si="8"/>
        <v>6048.6228</v>
      </c>
      <c r="O24" s="91">
        <f t="shared" si="8"/>
        <v>6048.6228</v>
      </c>
      <c r="P24" s="93">
        <f>D24+E24+F24+G24+H24+I24+J24+K24+L24++M24+N24+O24</f>
        <v>57125.297592</v>
      </c>
      <c r="Q24" s="80"/>
    </row>
    <row r="25" spans="1:17" s="4" customFormat="1" ht="20.25" customHeight="1">
      <c r="A25" s="123" t="s">
        <v>135</v>
      </c>
      <c r="B25" s="123">
        <v>2273</v>
      </c>
      <c r="C25" s="6" t="s">
        <v>21</v>
      </c>
      <c r="D25" s="71">
        <v>1300</v>
      </c>
      <c r="E25" s="71">
        <v>1300</v>
      </c>
      <c r="F25" s="71">
        <v>1300</v>
      </c>
      <c r="G25" s="71">
        <v>1000</v>
      </c>
      <c r="H25" s="71">
        <v>1000</v>
      </c>
      <c r="I25" s="71">
        <v>1000</v>
      </c>
      <c r="J25" s="71">
        <v>1000</v>
      </c>
      <c r="K25" s="71">
        <v>900</v>
      </c>
      <c r="L25" s="71">
        <v>989</v>
      </c>
      <c r="M25" s="71">
        <v>1300</v>
      </c>
      <c r="N25" s="71">
        <v>1300</v>
      </c>
      <c r="O25" s="72">
        <v>1300</v>
      </c>
      <c r="P25" s="73">
        <f t="shared" si="0"/>
        <v>13689</v>
      </c>
      <c r="Q25" s="80"/>
    </row>
    <row r="26" spans="1:17" s="4" customFormat="1" ht="20.25" customHeight="1">
      <c r="A26" s="123"/>
      <c r="B26" s="123"/>
      <c r="C26" s="6" t="s">
        <v>22</v>
      </c>
      <c r="D26" s="91">
        <f aca="true" t="shared" si="9" ref="D26:O26">2.629836*D25</f>
        <v>3418.7868</v>
      </c>
      <c r="E26" s="91">
        <f t="shared" si="9"/>
        <v>3418.7868</v>
      </c>
      <c r="F26" s="91">
        <f t="shared" si="9"/>
        <v>3418.7868</v>
      </c>
      <c r="G26" s="91">
        <f t="shared" si="9"/>
        <v>2629.8360000000002</v>
      </c>
      <c r="H26" s="91">
        <f t="shared" si="9"/>
        <v>2629.8360000000002</v>
      </c>
      <c r="I26" s="91">
        <f t="shared" si="9"/>
        <v>2629.8360000000002</v>
      </c>
      <c r="J26" s="91">
        <f t="shared" si="9"/>
        <v>2629.8360000000002</v>
      </c>
      <c r="K26" s="91">
        <f t="shared" si="9"/>
        <v>2366.8524</v>
      </c>
      <c r="L26" s="91">
        <f t="shared" si="9"/>
        <v>2600.907804</v>
      </c>
      <c r="M26" s="91">
        <f t="shared" si="9"/>
        <v>3418.7868</v>
      </c>
      <c r="N26" s="91">
        <f t="shared" si="9"/>
        <v>3418.7868</v>
      </c>
      <c r="O26" s="91">
        <f t="shared" si="9"/>
        <v>3418.7868</v>
      </c>
      <c r="P26" s="93">
        <f>D26+E26+F26+G26+H26+I26+J26+K26+L26+M26+N26+O26</f>
        <v>35999.825004</v>
      </c>
      <c r="Q26" s="80"/>
    </row>
    <row r="27" spans="1:22" s="8" customFormat="1" ht="15.75" customHeight="1">
      <c r="A27" s="126" t="s">
        <v>25</v>
      </c>
      <c r="B27" s="126">
        <v>2273</v>
      </c>
      <c r="C27" s="7" t="s">
        <v>21</v>
      </c>
      <c r="D27" s="88">
        <f>D9+D11+D13+D15+D17+D19+D21+D23+D25</f>
        <v>49954.5</v>
      </c>
      <c r="E27" s="76">
        <f aca="true" t="shared" si="10" ref="E27:P27">E9+E11+E13+E15+E17+E19+E21+E23+E25</f>
        <v>49707</v>
      </c>
      <c r="F27" s="76">
        <f t="shared" si="10"/>
        <v>45965</v>
      </c>
      <c r="G27" s="76">
        <f t="shared" si="10"/>
        <v>42073</v>
      </c>
      <c r="H27" s="76">
        <f t="shared" si="10"/>
        <v>20721</v>
      </c>
      <c r="I27" s="88">
        <f t="shared" si="10"/>
        <v>20415.8</v>
      </c>
      <c r="J27" s="88">
        <f t="shared" si="10"/>
        <v>20430.4</v>
      </c>
      <c r="K27" s="76">
        <f t="shared" si="10"/>
        <v>20518</v>
      </c>
      <c r="L27" s="76">
        <f t="shared" si="10"/>
        <v>20599</v>
      </c>
      <c r="M27" s="88">
        <f t="shared" si="10"/>
        <v>46552</v>
      </c>
      <c r="N27" s="88">
        <f t="shared" si="10"/>
        <v>47807</v>
      </c>
      <c r="O27" s="89">
        <f t="shared" si="10"/>
        <v>50236.6</v>
      </c>
      <c r="P27" s="90">
        <f t="shared" si="10"/>
        <v>434979.3</v>
      </c>
      <c r="Q27" s="80"/>
      <c r="R27" s="4"/>
      <c r="S27" s="4"/>
      <c r="T27" s="4"/>
      <c r="U27" s="4"/>
      <c r="V27" s="4"/>
    </row>
    <row r="28" spans="1:22" s="8" customFormat="1" ht="18.75">
      <c r="A28" s="126"/>
      <c r="B28" s="126"/>
      <c r="C28" s="7" t="s">
        <v>22</v>
      </c>
      <c r="D28" s="88">
        <f>D10+D12+D14+D16+D18+D20+D22+D24+D26</f>
        <v>131372.142462</v>
      </c>
      <c r="E28" s="88">
        <f aca="true" t="shared" si="11" ref="E28:O28">E10+E12+E14+E16+E18+E20+E22+E24+E26</f>
        <v>130721.258052</v>
      </c>
      <c r="F28" s="88">
        <f t="shared" si="11"/>
        <v>120880.41174000003</v>
      </c>
      <c r="G28" s="76">
        <f t="shared" si="11"/>
        <v>110645.090028</v>
      </c>
      <c r="H28" s="88">
        <f t="shared" si="11"/>
        <v>54492.83175600001</v>
      </c>
      <c r="I28" s="88">
        <f t="shared" si="11"/>
        <v>53690.20580880001</v>
      </c>
      <c r="J28" s="88">
        <f t="shared" si="11"/>
        <v>53728.6014144</v>
      </c>
      <c r="K28" s="76">
        <f t="shared" si="11"/>
        <v>53958.97504800001</v>
      </c>
      <c r="L28" s="76">
        <f t="shared" si="11"/>
        <v>54171.991764</v>
      </c>
      <c r="M28" s="76">
        <f t="shared" si="11"/>
        <v>122424.12547200001</v>
      </c>
      <c r="N28" s="76">
        <f t="shared" si="11"/>
        <v>125724.56965199999</v>
      </c>
      <c r="O28" s="77">
        <f t="shared" si="11"/>
        <v>132114.0191976</v>
      </c>
      <c r="P28" s="90">
        <f>P10+P12+P14+P16+P18+P20+P22+P24+P26-1</f>
        <v>1143923.2223948003</v>
      </c>
      <c r="Q28" s="81"/>
      <c r="R28" s="4"/>
      <c r="S28" s="4"/>
      <c r="T28" s="4"/>
      <c r="U28" s="4"/>
      <c r="V28" s="4"/>
    </row>
    <row r="29" spans="1:17" s="4" customFormat="1" ht="15.75" customHeight="1">
      <c r="A29" s="126">
        <v>210150</v>
      </c>
      <c r="B29" s="126">
        <v>2273</v>
      </c>
      <c r="C29" s="7" t="s">
        <v>21</v>
      </c>
      <c r="D29" s="79">
        <f>D31+D33+D37+D41+D35+D39</f>
        <v>4625</v>
      </c>
      <c r="E29" s="79">
        <f aca="true" t="shared" si="12" ref="E29:N29">E31+E33+E37+E41+E35+E39</f>
        <v>4733.8</v>
      </c>
      <c r="F29" s="79">
        <f t="shared" si="12"/>
        <v>4451</v>
      </c>
      <c r="G29" s="79">
        <f t="shared" si="12"/>
        <v>4438</v>
      </c>
      <c r="H29" s="79">
        <f t="shared" si="12"/>
        <v>4365</v>
      </c>
      <c r="I29" s="79">
        <f t="shared" si="12"/>
        <v>4216.4</v>
      </c>
      <c r="J29" s="79">
        <f t="shared" si="12"/>
        <v>4284</v>
      </c>
      <c r="K29" s="79">
        <f t="shared" si="12"/>
        <v>4224</v>
      </c>
      <c r="L29" s="79">
        <f t="shared" si="12"/>
        <v>4238</v>
      </c>
      <c r="M29" s="79">
        <f t="shared" si="12"/>
        <v>4672</v>
      </c>
      <c r="N29" s="79">
        <f t="shared" si="12"/>
        <v>4474</v>
      </c>
      <c r="O29" s="88">
        <f>O31+O33+O37+O41+O35+O39+1330</f>
        <v>5847.8</v>
      </c>
      <c r="P29" s="88">
        <f>D29+F29+E29+G29+H29+I29+J29+K29+L29+M29+N29+O29</f>
        <v>54569</v>
      </c>
      <c r="Q29" s="82"/>
    </row>
    <row r="30" spans="1:17" s="4" customFormat="1" ht="18.75">
      <c r="A30" s="126"/>
      <c r="B30" s="126"/>
      <c r="C30" s="7" t="s">
        <v>22</v>
      </c>
      <c r="D30" s="88">
        <f>D32+D34+D38+D42+D36+D40</f>
        <v>12162.9915</v>
      </c>
      <c r="E30" s="88">
        <f aca="true" t="shared" si="13" ref="E30:N30">E32+E34+E38+E42+E36+E40</f>
        <v>12449.117656800001</v>
      </c>
      <c r="F30" s="88">
        <f t="shared" si="13"/>
        <v>11705.400036000001</v>
      </c>
      <c r="G30" s="88">
        <f t="shared" si="13"/>
        <v>11671.212168</v>
      </c>
      <c r="H30" s="88">
        <f t="shared" si="13"/>
        <v>11479.23414</v>
      </c>
      <c r="I30" s="88">
        <f t="shared" si="13"/>
        <v>11088.4405104</v>
      </c>
      <c r="J30" s="88">
        <f t="shared" si="13"/>
        <v>11266.217423999999</v>
      </c>
      <c r="K30" s="88">
        <f t="shared" si="13"/>
        <v>11108.427264</v>
      </c>
      <c r="L30" s="88">
        <f t="shared" si="13"/>
        <v>11145.244967999999</v>
      </c>
      <c r="M30" s="88">
        <f t="shared" si="13"/>
        <v>12286.593792</v>
      </c>
      <c r="N30" s="88">
        <f t="shared" si="13"/>
        <v>11765.886264</v>
      </c>
      <c r="O30" s="88">
        <v>15475</v>
      </c>
      <c r="P30" s="88">
        <f>P32+P34+P38+P42+P36+P40+79</f>
        <v>143507.945936</v>
      </c>
      <c r="Q30" s="108"/>
    </row>
    <row r="31" spans="1:18" s="4" customFormat="1" ht="17.25" customHeight="1">
      <c r="A31" s="123" t="s">
        <v>26</v>
      </c>
      <c r="B31" s="123">
        <v>2273</v>
      </c>
      <c r="C31" s="6" t="s">
        <v>21</v>
      </c>
      <c r="D31" s="71">
        <v>2380</v>
      </c>
      <c r="E31" s="71">
        <v>2380</v>
      </c>
      <c r="F31" s="71">
        <v>2380</v>
      </c>
      <c r="G31" s="71">
        <v>2379</v>
      </c>
      <c r="H31" s="71">
        <v>2375</v>
      </c>
      <c r="I31" s="71">
        <v>2375</v>
      </c>
      <c r="J31" s="71">
        <v>2375</v>
      </c>
      <c r="K31" s="71">
        <v>2375</v>
      </c>
      <c r="L31" s="71">
        <v>2375</v>
      </c>
      <c r="M31" s="71">
        <v>2375</v>
      </c>
      <c r="N31" s="71">
        <v>2375</v>
      </c>
      <c r="O31" s="71">
        <v>2375</v>
      </c>
      <c r="P31" s="73">
        <f>SUM(D31:O31)</f>
        <v>28519</v>
      </c>
      <c r="Q31" s="101"/>
      <c r="R31" s="70"/>
    </row>
    <row r="32" spans="1:17" s="4" customFormat="1" ht="15.75">
      <c r="A32" s="123"/>
      <c r="B32" s="123"/>
      <c r="C32" s="6" t="s">
        <v>22</v>
      </c>
      <c r="D32" s="91">
        <f>2.629836*D31</f>
        <v>6259.00968</v>
      </c>
      <c r="E32" s="91">
        <f aca="true" t="shared" si="14" ref="E32:O32">2.629836*E31</f>
        <v>6259.00968</v>
      </c>
      <c r="F32" s="91">
        <f t="shared" si="14"/>
        <v>6259.00968</v>
      </c>
      <c r="G32" s="91">
        <f t="shared" si="14"/>
        <v>6256.379844</v>
      </c>
      <c r="H32" s="91">
        <f t="shared" si="14"/>
        <v>6245.8605</v>
      </c>
      <c r="I32" s="91">
        <f t="shared" si="14"/>
        <v>6245.8605</v>
      </c>
      <c r="J32" s="91">
        <f t="shared" si="14"/>
        <v>6245.8605</v>
      </c>
      <c r="K32" s="91">
        <f t="shared" si="14"/>
        <v>6245.8605</v>
      </c>
      <c r="L32" s="91">
        <f t="shared" si="14"/>
        <v>6245.8605</v>
      </c>
      <c r="M32" s="91">
        <f t="shared" si="14"/>
        <v>6245.8605</v>
      </c>
      <c r="N32" s="91">
        <f t="shared" si="14"/>
        <v>6245.8605</v>
      </c>
      <c r="O32" s="91">
        <f t="shared" si="14"/>
        <v>6245.8605</v>
      </c>
      <c r="P32" s="93">
        <f>D32+E32+F32+G32+H32+I32+J32+K32+L32+N32+M32+O32</f>
        <v>75000.29288400001</v>
      </c>
      <c r="Q32" s="101"/>
    </row>
    <row r="33" spans="1:17" s="4" customFormat="1" ht="17.25" customHeight="1">
      <c r="A33" s="123" t="s">
        <v>27</v>
      </c>
      <c r="B33" s="123">
        <v>2273</v>
      </c>
      <c r="C33" s="6" t="s">
        <v>21</v>
      </c>
      <c r="D33" s="71">
        <v>340</v>
      </c>
      <c r="E33" s="91">
        <v>334.8</v>
      </c>
      <c r="F33" s="71">
        <v>330</v>
      </c>
      <c r="G33" s="71">
        <v>330</v>
      </c>
      <c r="H33" s="71">
        <v>300</v>
      </c>
      <c r="I33" s="71">
        <v>250</v>
      </c>
      <c r="J33" s="71">
        <v>250</v>
      </c>
      <c r="K33" s="71">
        <v>250</v>
      </c>
      <c r="L33" s="71">
        <v>250</v>
      </c>
      <c r="M33" s="71">
        <v>240</v>
      </c>
      <c r="N33" s="71">
        <v>250</v>
      </c>
      <c r="O33" s="72">
        <v>250</v>
      </c>
      <c r="P33" s="93">
        <f>SUM(D33:O33)</f>
        <v>3374.8</v>
      </c>
      <c r="Q33" s="101"/>
    </row>
    <row r="34" spans="1:20" s="4" customFormat="1" ht="15.75">
      <c r="A34" s="127"/>
      <c r="B34" s="127"/>
      <c r="C34" s="6" t="s">
        <v>22</v>
      </c>
      <c r="D34" s="91">
        <f aca="true" t="shared" si="15" ref="D34:O34">2.629836*D33</f>
        <v>894.14424</v>
      </c>
      <c r="E34" s="91">
        <f t="shared" si="15"/>
        <v>880.4690928</v>
      </c>
      <c r="F34" s="91">
        <f t="shared" si="15"/>
        <v>867.84588</v>
      </c>
      <c r="G34" s="91">
        <f t="shared" si="15"/>
        <v>867.84588</v>
      </c>
      <c r="H34" s="91">
        <f t="shared" si="15"/>
        <v>788.9508000000001</v>
      </c>
      <c r="I34" s="91">
        <f t="shared" si="15"/>
        <v>657.4590000000001</v>
      </c>
      <c r="J34" s="91">
        <f t="shared" si="15"/>
        <v>657.4590000000001</v>
      </c>
      <c r="K34" s="91">
        <f t="shared" si="15"/>
        <v>657.4590000000001</v>
      </c>
      <c r="L34" s="91">
        <f t="shared" si="15"/>
        <v>657.4590000000001</v>
      </c>
      <c r="M34" s="91">
        <f t="shared" si="15"/>
        <v>631.1606400000001</v>
      </c>
      <c r="N34" s="91">
        <f t="shared" si="15"/>
        <v>657.4590000000001</v>
      </c>
      <c r="O34" s="91">
        <f t="shared" si="15"/>
        <v>657.4590000000001</v>
      </c>
      <c r="P34" s="93">
        <f>D34+E34+F34+G34+H34+I34+J34+K34+L34+M36+M34+N34+O34+166</f>
        <v>12294.277664800002</v>
      </c>
      <c r="Q34" s="80"/>
      <c r="T34" s="63"/>
    </row>
    <row r="35" spans="1:20" s="74" customFormat="1" ht="15.75">
      <c r="A35" s="119" t="s">
        <v>131</v>
      </c>
      <c r="B35" s="120">
        <v>2273</v>
      </c>
      <c r="C35" s="86" t="s">
        <v>21</v>
      </c>
      <c r="D35" s="116">
        <v>1002</v>
      </c>
      <c r="E35" s="116">
        <v>1089</v>
      </c>
      <c r="F35" s="116">
        <v>850</v>
      </c>
      <c r="G35" s="116">
        <v>899</v>
      </c>
      <c r="H35" s="116">
        <v>960</v>
      </c>
      <c r="I35" s="116">
        <v>839</v>
      </c>
      <c r="J35" s="116">
        <v>839</v>
      </c>
      <c r="K35" s="116">
        <v>829</v>
      </c>
      <c r="L35" s="116">
        <v>843</v>
      </c>
      <c r="M35" s="116">
        <v>1237</v>
      </c>
      <c r="N35" s="116">
        <v>929</v>
      </c>
      <c r="O35" s="118">
        <v>959</v>
      </c>
      <c r="P35" s="115">
        <f>D35+E35+F35+G35+H35+I35+J35+K35+L35+M35+N35+O35</f>
        <v>11275</v>
      </c>
      <c r="Q35" s="85"/>
      <c r="T35" s="113"/>
    </row>
    <row r="36" spans="1:17" s="74" customFormat="1" ht="15.75">
      <c r="A36" s="121"/>
      <c r="B36" s="122">
        <v>2273</v>
      </c>
      <c r="C36" s="86" t="s">
        <v>22</v>
      </c>
      <c r="D36" s="116">
        <f aca="true" t="shared" si="16" ref="D36:O36">2.629836*D35</f>
        <v>2635.095672</v>
      </c>
      <c r="E36" s="116">
        <f t="shared" si="16"/>
        <v>2863.891404</v>
      </c>
      <c r="F36" s="116">
        <f t="shared" si="16"/>
        <v>2235.3606</v>
      </c>
      <c r="G36" s="116">
        <f t="shared" si="16"/>
        <v>2364.222564</v>
      </c>
      <c r="H36" s="116">
        <f t="shared" si="16"/>
        <v>2524.6425600000002</v>
      </c>
      <c r="I36" s="116">
        <f t="shared" si="16"/>
        <v>2206.432404</v>
      </c>
      <c r="J36" s="116">
        <f t="shared" si="16"/>
        <v>2206.432404</v>
      </c>
      <c r="K36" s="116">
        <f t="shared" si="16"/>
        <v>2180.134044</v>
      </c>
      <c r="L36" s="116">
        <f t="shared" si="16"/>
        <v>2216.951748</v>
      </c>
      <c r="M36" s="116">
        <f t="shared" si="16"/>
        <v>3253.107132</v>
      </c>
      <c r="N36" s="116">
        <f t="shared" si="16"/>
        <v>2443.117644</v>
      </c>
      <c r="O36" s="116">
        <f t="shared" si="16"/>
        <v>2522.012724</v>
      </c>
      <c r="P36" s="115">
        <f>D36+E36+F36+G36+H36+I36+J36+K36+L36+M36+N36+O36</f>
        <v>29651.4009</v>
      </c>
      <c r="Q36" s="85"/>
    </row>
    <row r="37" spans="1:21" s="4" customFormat="1" ht="17.25" customHeight="1">
      <c r="A37" s="128" t="s">
        <v>28</v>
      </c>
      <c r="B37" s="130">
        <v>2273</v>
      </c>
      <c r="C37" s="6" t="s">
        <v>21</v>
      </c>
      <c r="D37" s="71">
        <v>403</v>
      </c>
      <c r="E37" s="71">
        <v>430</v>
      </c>
      <c r="F37" s="71">
        <v>430</v>
      </c>
      <c r="G37" s="71">
        <v>430</v>
      </c>
      <c r="H37" s="71">
        <v>430</v>
      </c>
      <c r="I37" s="71">
        <v>430</v>
      </c>
      <c r="J37" s="71">
        <v>420</v>
      </c>
      <c r="K37" s="71">
        <v>370</v>
      </c>
      <c r="L37" s="71">
        <v>370</v>
      </c>
      <c r="M37" s="71">
        <v>370</v>
      </c>
      <c r="N37" s="71">
        <v>420</v>
      </c>
      <c r="O37" s="92">
        <v>433.8</v>
      </c>
      <c r="P37" s="93">
        <f>SUM(D37:O37)</f>
        <v>4936.8</v>
      </c>
      <c r="Q37" s="80"/>
      <c r="U37" s="70"/>
    </row>
    <row r="38" spans="1:23" s="4" customFormat="1" ht="15.75">
      <c r="A38" s="129"/>
      <c r="B38" s="127"/>
      <c r="C38" s="6" t="s">
        <v>22</v>
      </c>
      <c r="D38" s="91">
        <f aca="true" t="shared" si="17" ref="D38:O38">2.629836*D37</f>
        <v>1059.823908</v>
      </c>
      <c r="E38" s="91">
        <f t="shared" si="17"/>
        <v>1130.82948</v>
      </c>
      <c r="F38" s="91">
        <f t="shared" si="17"/>
        <v>1130.82948</v>
      </c>
      <c r="G38" s="91">
        <f t="shared" si="17"/>
        <v>1130.82948</v>
      </c>
      <c r="H38" s="91">
        <f t="shared" si="17"/>
        <v>1130.82948</v>
      </c>
      <c r="I38" s="91">
        <f t="shared" si="17"/>
        <v>1130.82948</v>
      </c>
      <c r="J38" s="91">
        <f t="shared" si="17"/>
        <v>1104.53112</v>
      </c>
      <c r="K38" s="91">
        <f t="shared" si="17"/>
        <v>973.03932</v>
      </c>
      <c r="L38" s="91">
        <f t="shared" si="17"/>
        <v>973.03932</v>
      </c>
      <c r="M38" s="91">
        <f t="shared" si="17"/>
        <v>973.03932</v>
      </c>
      <c r="N38" s="91">
        <f t="shared" si="17"/>
        <v>1104.53112</v>
      </c>
      <c r="O38" s="91">
        <f t="shared" si="17"/>
        <v>1140.8228568</v>
      </c>
      <c r="P38" s="93">
        <f>D38+E38+F38+G38+H38+I38+J38+K38+L38+M38+N38+O38</f>
        <v>12982.9743648</v>
      </c>
      <c r="Q38" s="80"/>
      <c r="W38" s="70"/>
    </row>
    <row r="39" spans="1:23" s="4" customFormat="1" ht="15.75">
      <c r="A39" s="13" t="s">
        <v>147</v>
      </c>
      <c r="B39" s="105">
        <v>2273</v>
      </c>
      <c r="C39" s="6" t="s">
        <v>21</v>
      </c>
      <c r="D39" s="91">
        <v>200</v>
      </c>
      <c r="E39" s="91">
        <v>200</v>
      </c>
      <c r="F39" s="91">
        <v>161</v>
      </c>
      <c r="G39" s="91">
        <v>100</v>
      </c>
      <c r="H39" s="91">
        <v>100</v>
      </c>
      <c r="I39" s="91">
        <v>100</v>
      </c>
      <c r="J39" s="91">
        <v>100</v>
      </c>
      <c r="K39" s="91">
        <v>100</v>
      </c>
      <c r="L39" s="91">
        <v>100</v>
      </c>
      <c r="M39" s="91">
        <v>150</v>
      </c>
      <c r="N39" s="91">
        <v>200</v>
      </c>
      <c r="O39" s="92">
        <v>200</v>
      </c>
      <c r="P39" s="93">
        <f>D39+E39+F39+G39+H39+I39+J39+K39+L39+M39+N39+O39</f>
        <v>1711</v>
      </c>
      <c r="Q39" s="80"/>
      <c r="W39" s="70"/>
    </row>
    <row r="40" spans="1:23" s="4" customFormat="1" ht="15.75">
      <c r="A40" s="13" t="s">
        <v>148</v>
      </c>
      <c r="B40" s="106">
        <v>2273</v>
      </c>
      <c r="C40" s="6" t="s">
        <v>22</v>
      </c>
      <c r="D40" s="91">
        <f aca="true" t="shared" si="18" ref="D40:O40">2.629836*D39</f>
        <v>525.9672</v>
      </c>
      <c r="E40" s="91">
        <f t="shared" si="18"/>
        <v>525.9672</v>
      </c>
      <c r="F40" s="91">
        <f t="shared" si="18"/>
        <v>423.403596</v>
      </c>
      <c r="G40" s="91">
        <f t="shared" si="18"/>
        <v>262.9836</v>
      </c>
      <c r="H40" s="91">
        <f t="shared" si="18"/>
        <v>262.9836</v>
      </c>
      <c r="I40" s="91">
        <f t="shared" si="18"/>
        <v>262.9836</v>
      </c>
      <c r="J40" s="91">
        <f t="shared" si="18"/>
        <v>262.9836</v>
      </c>
      <c r="K40" s="91">
        <f t="shared" si="18"/>
        <v>262.9836</v>
      </c>
      <c r="L40" s="91">
        <f t="shared" si="18"/>
        <v>262.9836</v>
      </c>
      <c r="M40" s="91">
        <f t="shared" si="18"/>
        <v>394.47540000000004</v>
      </c>
      <c r="N40" s="91">
        <f t="shared" si="18"/>
        <v>525.9672</v>
      </c>
      <c r="O40" s="91">
        <f t="shared" si="18"/>
        <v>525.9672</v>
      </c>
      <c r="P40" s="93">
        <f>D40+E40+F40+G40+H40+I40+J40+K40+L40+M40+N40+O40</f>
        <v>4499.649396000001</v>
      </c>
      <c r="Q40" s="80"/>
      <c r="W40" s="70"/>
    </row>
    <row r="41" spans="1:17" s="4" customFormat="1" ht="17.25" customHeight="1">
      <c r="A41" s="128" t="s">
        <v>29</v>
      </c>
      <c r="B41" s="123">
        <v>2273</v>
      </c>
      <c r="C41" s="6" t="s">
        <v>21</v>
      </c>
      <c r="D41" s="71">
        <v>300</v>
      </c>
      <c r="E41" s="71">
        <v>300</v>
      </c>
      <c r="F41" s="71">
        <v>300</v>
      </c>
      <c r="G41" s="71">
        <v>300</v>
      </c>
      <c r="H41" s="71">
        <v>200</v>
      </c>
      <c r="I41" s="91">
        <v>222.4</v>
      </c>
      <c r="J41" s="71">
        <v>300</v>
      </c>
      <c r="K41" s="71">
        <v>300</v>
      </c>
      <c r="L41" s="71">
        <v>300</v>
      </c>
      <c r="M41" s="71">
        <v>300</v>
      </c>
      <c r="N41" s="71">
        <v>300</v>
      </c>
      <c r="O41" s="72">
        <v>300</v>
      </c>
      <c r="P41" s="93">
        <f>SUM(D41:O41)</f>
        <v>3422.4</v>
      </c>
      <c r="Q41" s="80"/>
    </row>
    <row r="42" spans="1:17" s="4" customFormat="1" ht="15.75">
      <c r="A42" s="123"/>
      <c r="B42" s="123"/>
      <c r="C42" s="6" t="s">
        <v>22</v>
      </c>
      <c r="D42" s="91">
        <f>2.629836*D41</f>
        <v>788.9508000000001</v>
      </c>
      <c r="E42" s="91">
        <f aca="true" t="shared" si="19" ref="E42:O42">2.629836*E41</f>
        <v>788.9508000000001</v>
      </c>
      <c r="F42" s="91">
        <f t="shared" si="19"/>
        <v>788.9508000000001</v>
      </c>
      <c r="G42" s="91">
        <f t="shared" si="19"/>
        <v>788.9508000000001</v>
      </c>
      <c r="H42" s="91">
        <f t="shared" si="19"/>
        <v>525.9672</v>
      </c>
      <c r="I42" s="91">
        <f t="shared" si="19"/>
        <v>584.8755264</v>
      </c>
      <c r="J42" s="91">
        <f t="shared" si="19"/>
        <v>788.9508000000001</v>
      </c>
      <c r="K42" s="91">
        <f t="shared" si="19"/>
        <v>788.9508000000001</v>
      </c>
      <c r="L42" s="91">
        <f t="shared" si="19"/>
        <v>788.9508000000001</v>
      </c>
      <c r="M42" s="91">
        <f t="shared" si="19"/>
        <v>788.9508000000001</v>
      </c>
      <c r="N42" s="91">
        <f t="shared" si="19"/>
        <v>788.9508000000001</v>
      </c>
      <c r="O42" s="91">
        <f t="shared" si="19"/>
        <v>788.9508000000001</v>
      </c>
      <c r="P42" s="93">
        <f>D42+E42+F42+G42+H42+I42+J42+K42+L42+M42+N42+O42</f>
        <v>9000.350726400004</v>
      </c>
      <c r="Q42" s="80"/>
    </row>
    <row r="43" spans="1:21" s="4" customFormat="1" ht="15.75" customHeight="1">
      <c r="A43" s="126" t="s">
        <v>142</v>
      </c>
      <c r="B43" s="126">
        <v>2273</v>
      </c>
      <c r="C43" s="7" t="s">
        <v>21</v>
      </c>
      <c r="D43" s="87">
        <v>510</v>
      </c>
      <c r="E43" s="87">
        <v>510</v>
      </c>
      <c r="F43" s="87">
        <v>510</v>
      </c>
      <c r="G43" s="87">
        <v>510</v>
      </c>
      <c r="H43" s="87">
        <v>510</v>
      </c>
      <c r="I43" s="98">
        <v>504.5</v>
      </c>
      <c r="J43" s="87">
        <v>510</v>
      </c>
      <c r="K43" s="87">
        <v>510</v>
      </c>
      <c r="L43" s="87">
        <v>510</v>
      </c>
      <c r="M43" s="87">
        <v>510</v>
      </c>
      <c r="N43" s="87">
        <v>510</v>
      </c>
      <c r="O43" s="87">
        <v>510</v>
      </c>
      <c r="P43" s="69">
        <f>D43+E43+F43+G43+H43+I43+J43+K43+L43+M43+N43+O43</f>
        <v>6114.5</v>
      </c>
      <c r="Q43" s="80"/>
      <c r="U43" s="63"/>
    </row>
    <row r="44" spans="1:24" s="4" customFormat="1" ht="18.75">
      <c r="A44" s="126"/>
      <c r="B44" s="126"/>
      <c r="C44" s="7" t="s">
        <v>22</v>
      </c>
      <c r="D44" s="98">
        <f>2.629836*D43</f>
        <v>1341.2163600000001</v>
      </c>
      <c r="E44" s="98">
        <f aca="true" t="shared" si="20" ref="E44:O44">2.629836*E43</f>
        <v>1341.2163600000001</v>
      </c>
      <c r="F44" s="98">
        <f t="shared" si="20"/>
        <v>1341.2163600000001</v>
      </c>
      <c r="G44" s="98">
        <f t="shared" si="20"/>
        <v>1341.2163600000001</v>
      </c>
      <c r="H44" s="98">
        <f t="shared" si="20"/>
        <v>1341.2163600000001</v>
      </c>
      <c r="I44" s="98">
        <f t="shared" si="20"/>
        <v>1326.752262</v>
      </c>
      <c r="J44" s="98">
        <f t="shared" si="20"/>
        <v>1341.2163600000001</v>
      </c>
      <c r="K44" s="98">
        <f t="shared" si="20"/>
        <v>1341.2163600000001</v>
      </c>
      <c r="L44" s="98">
        <f t="shared" si="20"/>
        <v>1341.2163600000001</v>
      </c>
      <c r="M44" s="98">
        <f t="shared" si="20"/>
        <v>1341.2163600000001</v>
      </c>
      <c r="N44" s="98">
        <f t="shared" si="20"/>
        <v>1341.2163600000001</v>
      </c>
      <c r="O44" s="98">
        <f t="shared" si="20"/>
        <v>1341.2163600000001</v>
      </c>
      <c r="P44" s="69">
        <f>D44+E44+F44+G44+H44+I44+J44+K44+L44+M44+N44+O44</f>
        <v>16080.132222000002</v>
      </c>
      <c r="Q44" s="81"/>
      <c r="S44" s="70"/>
      <c r="X44" s="63"/>
    </row>
    <row r="45" spans="1:17" s="4" customFormat="1" ht="15.75" customHeight="1">
      <c r="A45" s="126" t="s">
        <v>143</v>
      </c>
      <c r="B45" s="126">
        <v>2273</v>
      </c>
      <c r="C45" s="7" t="s">
        <v>21</v>
      </c>
      <c r="D45" s="88">
        <f>D47+D49+D51+D53+D55+D57+D59+D61+D63+D65+D67+D69</f>
        <v>6135</v>
      </c>
      <c r="E45" s="88">
        <f aca="true" t="shared" si="21" ref="E45:P45">E47+E49+E51+E53+E55+E57+E59+E61+E63+E65+E67+E69</f>
        <v>6135</v>
      </c>
      <c r="F45" s="88">
        <f t="shared" si="21"/>
        <v>4993.5</v>
      </c>
      <c r="G45" s="88">
        <f t="shared" si="21"/>
        <v>3650</v>
      </c>
      <c r="H45" s="88">
        <f t="shared" si="21"/>
        <v>3275</v>
      </c>
      <c r="I45" s="88">
        <f t="shared" si="21"/>
        <v>3228</v>
      </c>
      <c r="J45" s="88">
        <f t="shared" si="21"/>
        <v>3340.2</v>
      </c>
      <c r="K45" s="88">
        <f t="shared" si="21"/>
        <v>3375</v>
      </c>
      <c r="L45" s="88">
        <f t="shared" si="21"/>
        <v>3279.000000000001</v>
      </c>
      <c r="M45" s="88">
        <f t="shared" si="21"/>
        <v>4250</v>
      </c>
      <c r="N45" s="88">
        <f t="shared" si="21"/>
        <v>5130.6</v>
      </c>
      <c r="O45" s="89">
        <f t="shared" si="21"/>
        <v>5875.5</v>
      </c>
      <c r="P45" s="90">
        <f t="shared" si="21"/>
        <v>52666.80000000001</v>
      </c>
      <c r="Q45" s="85"/>
    </row>
    <row r="46" spans="1:17" s="4" customFormat="1" ht="15.75">
      <c r="A46" s="126"/>
      <c r="B46" s="126"/>
      <c r="C46" s="7" t="s">
        <v>22</v>
      </c>
      <c r="D46" s="88">
        <f>D48+D50+D52+D54+D56+D58+D60+D62+D64+D66+D68+D70</f>
        <v>16134.043859999998</v>
      </c>
      <c r="E46" s="88">
        <f aca="true" t="shared" si="22" ref="E46:O46">E48+E50+E52+E54+E56+E58+E60+E62+E64+E66+E68+E70</f>
        <v>16134.043859999998</v>
      </c>
      <c r="F46" s="88">
        <f t="shared" si="22"/>
        <v>13132.086066</v>
      </c>
      <c r="G46" s="88">
        <f t="shared" si="22"/>
        <v>9598.901400000002</v>
      </c>
      <c r="H46" s="88">
        <f t="shared" si="22"/>
        <v>8612.7129</v>
      </c>
      <c r="I46" s="88">
        <f t="shared" si="22"/>
        <v>8489.110607999999</v>
      </c>
      <c r="J46" s="88">
        <f t="shared" si="22"/>
        <v>8784.1782072</v>
      </c>
      <c r="K46" s="88">
        <f t="shared" si="22"/>
        <v>8875.696500000002</v>
      </c>
      <c r="L46" s="88">
        <f t="shared" si="22"/>
        <v>8623.232243999999</v>
      </c>
      <c r="M46" s="88">
        <f t="shared" si="22"/>
        <v>11176.803</v>
      </c>
      <c r="N46" s="88">
        <f t="shared" si="22"/>
        <v>13492.636581599996</v>
      </c>
      <c r="O46" s="89">
        <f t="shared" si="22"/>
        <v>15451.601417999998</v>
      </c>
      <c r="P46" s="90">
        <f>P48+P50+P52+P54+P56+P58+P60+P62+P64+P66+P68+P70</f>
        <v>138505.04664480002</v>
      </c>
      <c r="Q46" s="68"/>
    </row>
    <row r="47" spans="1:17" s="4" customFormat="1" ht="15.75" customHeight="1">
      <c r="A47" s="123" t="s">
        <v>30</v>
      </c>
      <c r="B47" s="123">
        <v>2273</v>
      </c>
      <c r="C47" s="6" t="s">
        <v>21</v>
      </c>
      <c r="D47" s="91">
        <v>1800</v>
      </c>
      <c r="E47" s="91">
        <v>1800</v>
      </c>
      <c r="F47" s="91">
        <v>1800</v>
      </c>
      <c r="G47" s="91">
        <v>1800</v>
      </c>
      <c r="H47" s="91">
        <v>1800</v>
      </c>
      <c r="I47" s="91">
        <v>1800</v>
      </c>
      <c r="J47" s="91">
        <v>1765.2</v>
      </c>
      <c r="K47" s="91">
        <v>1800</v>
      </c>
      <c r="L47" s="91">
        <v>1800</v>
      </c>
      <c r="M47" s="91">
        <v>1800</v>
      </c>
      <c r="N47" s="91">
        <v>1800</v>
      </c>
      <c r="O47" s="91">
        <v>1800</v>
      </c>
      <c r="P47" s="93">
        <f>D47+E47+F47+G47+H47+I47+J47+K47+L47+M47+N47+O47</f>
        <v>21565.2</v>
      </c>
      <c r="Q47" s="101"/>
    </row>
    <row r="48" spans="1:19" s="4" customFormat="1" ht="15.75">
      <c r="A48" s="123"/>
      <c r="B48" s="123"/>
      <c r="C48" s="6" t="s">
        <v>22</v>
      </c>
      <c r="D48" s="91">
        <f>2.629836*D47</f>
        <v>4733.7048</v>
      </c>
      <c r="E48" s="91">
        <f aca="true" t="shared" si="23" ref="E48:N48">2.629836*E47</f>
        <v>4733.7048</v>
      </c>
      <c r="F48" s="91">
        <f t="shared" si="23"/>
        <v>4733.7048</v>
      </c>
      <c r="G48" s="91">
        <f t="shared" si="23"/>
        <v>4733.7048</v>
      </c>
      <c r="H48" s="91">
        <f t="shared" si="23"/>
        <v>4733.7048</v>
      </c>
      <c r="I48" s="91">
        <f t="shared" si="23"/>
        <v>4733.7048</v>
      </c>
      <c r="J48" s="91">
        <f t="shared" si="23"/>
        <v>4642.1865072</v>
      </c>
      <c r="K48" s="91">
        <f t="shared" si="23"/>
        <v>4733.7048</v>
      </c>
      <c r="L48" s="91">
        <f t="shared" si="23"/>
        <v>4733.7048</v>
      </c>
      <c r="M48" s="91">
        <f t="shared" si="23"/>
        <v>4733.7048</v>
      </c>
      <c r="N48" s="91">
        <f t="shared" si="23"/>
        <v>4733.7048</v>
      </c>
      <c r="O48" s="91">
        <f>2.629836*O47</f>
        <v>4733.7048</v>
      </c>
      <c r="P48" s="93">
        <f>D48+E48+F48+G48+H48+I48+J48+K48+L48+N48+M48+O48</f>
        <v>56712.9393072</v>
      </c>
      <c r="Q48" s="80"/>
      <c r="S48" s="63"/>
    </row>
    <row r="49" spans="1:17" s="4" customFormat="1" ht="15.75" customHeight="1">
      <c r="A49" s="123" t="s">
        <v>31</v>
      </c>
      <c r="B49" s="123">
        <v>2273</v>
      </c>
      <c r="C49" s="6" t="s">
        <v>21</v>
      </c>
      <c r="D49" s="71">
        <v>400</v>
      </c>
      <c r="E49" s="71">
        <v>400</v>
      </c>
      <c r="F49" s="71">
        <v>400</v>
      </c>
      <c r="G49" s="71">
        <v>400</v>
      </c>
      <c r="H49" s="71">
        <v>400</v>
      </c>
      <c r="I49" s="71">
        <v>353</v>
      </c>
      <c r="J49" s="71">
        <v>400</v>
      </c>
      <c r="K49" s="71">
        <v>400</v>
      </c>
      <c r="L49" s="71">
        <v>400</v>
      </c>
      <c r="M49" s="71">
        <v>400</v>
      </c>
      <c r="N49" s="71">
        <v>400</v>
      </c>
      <c r="O49" s="71">
        <v>400</v>
      </c>
      <c r="P49" s="73">
        <f>SUM(D49:O49)</f>
        <v>4753</v>
      </c>
      <c r="Q49" s="80"/>
    </row>
    <row r="50" spans="1:17" s="4" customFormat="1" ht="15.75">
      <c r="A50" s="123"/>
      <c r="B50" s="123"/>
      <c r="C50" s="6" t="s">
        <v>22</v>
      </c>
      <c r="D50" s="91">
        <f aca="true" t="shared" si="24" ref="D50:O50">2.629836*D49</f>
        <v>1051.9344</v>
      </c>
      <c r="E50" s="91">
        <f t="shared" si="24"/>
        <v>1051.9344</v>
      </c>
      <c r="F50" s="91">
        <f t="shared" si="24"/>
        <v>1051.9344</v>
      </c>
      <c r="G50" s="91">
        <f t="shared" si="24"/>
        <v>1051.9344</v>
      </c>
      <c r="H50" s="91">
        <f t="shared" si="24"/>
        <v>1051.9344</v>
      </c>
      <c r="I50" s="91">
        <f t="shared" si="24"/>
        <v>928.3321080000001</v>
      </c>
      <c r="J50" s="91">
        <f t="shared" si="24"/>
        <v>1051.9344</v>
      </c>
      <c r="K50" s="91">
        <f t="shared" si="24"/>
        <v>1051.9344</v>
      </c>
      <c r="L50" s="91">
        <f t="shared" si="24"/>
        <v>1051.9344</v>
      </c>
      <c r="M50" s="91">
        <f t="shared" si="24"/>
        <v>1051.9344</v>
      </c>
      <c r="N50" s="91">
        <f t="shared" si="24"/>
        <v>1051.9344</v>
      </c>
      <c r="O50" s="91">
        <f t="shared" si="24"/>
        <v>1051.9344</v>
      </c>
      <c r="P50" s="93">
        <f>D50+E50+F50+G50+H50+I50+J50+K50+L50+M50+N50+O50</f>
        <v>12499.610508000002</v>
      </c>
      <c r="Q50" s="80"/>
    </row>
    <row r="51" spans="1:17" s="4" customFormat="1" ht="15.75" customHeight="1">
      <c r="A51" s="123" t="s">
        <v>32</v>
      </c>
      <c r="B51" s="123">
        <v>2273</v>
      </c>
      <c r="C51" s="6" t="s">
        <v>21</v>
      </c>
      <c r="D51" s="71">
        <v>250</v>
      </c>
      <c r="E51" s="71">
        <v>250</v>
      </c>
      <c r="F51" s="91">
        <v>286.5</v>
      </c>
      <c r="G51" s="71">
        <v>150</v>
      </c>
      <c r="H51" s="71">
        <v>100</v>
      </c>
      <c r="I51" s="71">
        <v>100</v>
      </c>
      <c r="J51" s="71">
        <v>100</v>
      </c>
      <c r="K51" s="71">
        <v>100</v>
      </c>
      <c r="L51" s="71">
        <v>100</v>
      </c>
      <c r="M51" s="71">
        <v>200</v>
      </c>
      <c r="N51" s="71">
        <v>250</v>
      </c>
      <c r="O51" s="72">
        <v>300</v>
      </c>
      <c r="P51" s="93">
        <f>SUM(D51:O51)</f>
        <v>2186.5</v>
      </c>
      <c r="Q51" s="80"/>
    </row>
    <row r="52" spans="1:17" s="4" customFormat="1" ht="23.25" customHeight="1">
      <c r="A52" s="123"/>
      <c r="B52" s="123"/>
      <c r="C52" s="6" t="s">
        <v>22</v>
      </c>
      <c r="D52" s="91">
        <f aca="true" t="shared" si="25" ref="D52:O52">2.629836*D51</f>
        <v>657.4590000000001</v>
      </c>
      <c r="E52" s="91">
        <f t="shared" si="25"/>
        <v>657.4590000000001</v>
      </c>
      <c r="F52" s="91">
        <f t="shared" si="25"/>
        <v>753.4480140000001</v>
      </c>
      <c r="G52" s="91">
        <f t="shared" si="25"/>
        <v>394.47540000000004</v>
      </c>
      <c r="H52" s="91">
        <f t="shared" si="25"/>
        <v>262.9836</v>
      </c>
      <c r="I52" s="91">
        <f t="shared" si="25"/>
        <v>262.9836</v>
      </c>
      <c r="J52" s="91">
        <f t="shared" si="25"/>
        <v>262.9836</v>
      </c>
      <c r="K52" s="91">
        <f t="shared" si="25"/>
        <v>262.9836</v>
      </c>
      <c r="L52" s="91">
        <f t="shared" si="25"/>
        <v>262.9836</v>
      </c>
      <c r="M52" s="91">
        <f t="shared" si="25"/>
        <v>525.9672</v>
      </c>
      <c r="N52" s="91">
        <f t="shared" si="25"/>
        <v>657.4590000000001</v>
      </c>
      <c r="O52" s="91">
        <f t="shared" si="25"/>
        <v>788.9508000000001</v>
      </c>
      <c r="P52" s="93">
        <f>D52+E52+F52+G52+H52+I52+J52+K52+L52+M52+N52+O52</f>
        <v>5750.1364140000005</v>
      </c>
      <c r="Q52" s="80"/>
    </row>
    <row r="53" spans="1:17" s="4" customFormat="1" ht="17.25" customHeight="1">
      <c r="A53" s="123" t="s">
        <v>33</v>
      </c>
      <c r="B53" s="123">
        <v>2273</v>
      </c>
      <c r="C53" s="6" t="s">
        <v>21</v>
      </c>
      <c r="D53" s="71">
        <v>200</v>
      </c>
      <c r="E53" s="71">
        <v>200</v>
      </c>
      <c r="F53" s="71">
        <v>111</v>
      </c>
      <c r="G53" s="71">
        <v>100</v>
      </c>
      <c r="H53" s="71">
        <v>100</v>
      </c>
      <c r="I53" s="71">
        <v>100</v>
      </c>
      <c r="J53" s="71">
        <v>100</v>
      </c>
      <c r="K53" s="71">
        <v>100</v>
      </c>
      <c r="L53" s="71">
        <v>100</v>
      </c>
      <c r="M53" s="71">
        <v>200</v>
      </c>
      <c r="N53" s="71">
        <v>200</v>
      </c>
      <c r="O53" s="72">
        <v>200</v>
      </c>
      <c r="P53" s="73">
        <f>SUM(D53:O53)</f>
        <v>1711</v>
      </c>
      <c r="Q53" s="80"/>
    </row>
    <row r="54" spans="1:17" s="4" customFormat="1" ht="15.75">
      <c r="A54" s="123"/>
      <c r="B54" s="123"/>
      <c r="C54" s="6" t="s">
        <v>22</v>
      </c>
      <c r="D54" s="91">
        <f aca="true" t="shared" si="26" ref="D54:O54">2.629836*D53</f>
        <v>525.9672</v>
      </c>
      <c r="E54" s="91">
        <f t="shared" si="26"/>
        <v>525.9672</v>
      </c>
      <c r="F54" s="91">
        <f t="shared" si="26"/>
        <v>291.911796</v>
      </c>
      <c r="G54" s="91">
        <f t="shared" si="26"/>
        <v>262.9836</v>
      </c>
      <c r="H54" s="91">
        <f t="shared" si="26"/>
        <v>262.9836</v>
      </c>
      <c r="I54" s="91">
        <f t="shared" si="26"/>
        <v>262.9836</v>
      </c>
      <c r="J54" s="91">
        <f t="shared" si="26"/>
        <v>262.9836</v>
      </c>
      <c r="K54" s="91">
        <f t="shared" si="26"/>
        <v>262.9836</v>
      </c>
      <c r="L54" s="91">
        <f t="shared" si="26"/>
        <v>262.9836</v>
      </c>
      <c r="M54" s="91">
        <f t="shared" si="26"/>
        <v>525.9672</v>
      </c>
      <c r="N54" s="91">
        <f t="shared" si="26"/>
        <v>525.9672</v>
      </c>
      <c r="O54" s="91">
        <f t="shared" si="26"/>
        <v>525.9672</v>
      </c>
      <c r="P54" s="93">
        <f>D54+E54+F54+G54+H54+I54+J54+K54+L54+M54+N54+O54</f>
        <v>4499.649396000001</v>
      </c>
      <c r="Q54" s="80"/>
    </row>
    <row r="55" spans="1:17" s="4" customFormat="1" ht="15.75" customHeight="1">
      <c r="A55" s="123" t="s">
        <v>34</v>
      </c>
      <c r="B55" s="123">
        <v>2273</v>
      </c>
      <c r="C55" s="6" t="s">
        <v>21</v>
      </c>
      <c r="D55" s="71">
        <v>2600</v>
      </c>
      <c r="E55" s="71">
        <v>2600</v>
      </c>
      <c r="F55" s="71">
        <v>1600</v>
      </c>
      <c r="G55" s="71">
        <v>600</v>
      </c>
      <c r="H55" s="71">
        <v>300</v>
      </c>
      <c r="I55" s="71">
        <v>300</v>
      </c>
      <c r="J55" s="71">
        <v>400</v>
      </c>
      <c r="K55" s="71">
        <v>400</v>
      </c>
      <c r="L55" s="71">
        <v>300</v>
      </c>
      <c r="M55" s="71">
        <v>900</v>
      </c>
      <c r="N55" s="71">
        <v>1600</v>
      </c>
      <c r="O55" s="92">
        <v>2295.5</v>
      </c>
      <c r="P55" s="93">
        <f>SUM(D55:O55)</f>
        <v>13895.5</v>
      </c>
      <c r="Q55" s="80"/>
    </row>
    <row r="56" spans="1:17" s="4" customFormat="1" ht="15.75">
      <c r="A56" s="123"/>
      <c r="B56" s="123"/>
      <c r="C56" s="6" t="s">
        <v>22</v>
      </c>
      <c r="D56" s="91">
        <f aca="true" t="shared" si="27" ref="D56:O56">2.629836*D55</f>
        <v>6837.5736</v>
      </c>
      <c r="E56" s="91">
        <f t="shared" si="27"/>
        <v>6837.5736</v>
      </c>
      <c r="F56" s="91">
        <f t="shared" si="27"/>
        <v>4207.7376</v>
      </c>
      <c r="G56" s="91">
        <f t="shared" si="27"/>
        <v>1577.9016000000001</v>
      </c>
      <c r="H56" s="91">
        <f t="shared" si="27"/>
        <v>788.9508000000001</v>
      </c>
      <c r="I56" s="91">
        <f t="shared" si="27"/>
        <v>788.9508000000001</v>
      </c>
      <c r="J56" s="91">
        <f t="shared" si="27"/>
        <v>1051.9344</v>
      </c>
      <c r="K56" s="91">
        <f t="shared" si="27"/>
        <v>1051.9344</v>
      </c>
      <c r="L56" s="91">
        <f t="shared" si="27"/>
        <v>788.9508000000001</v>
      </c>
      <c r="M56" s="91">
        <f t="shared" si="27"/>
        <v>2366.8524</v>
      </c>
      <c r="N56" s="91">
        <f t="shared" si="27"/>
        <v>4207.7376</v>
      </c>
      <c r="O56" s="92">
        <f t="shared" si="27"/>
        <v>6036.788538</v>
      </c>
      <c r="P56" s="93">
        <f>D56+E56+F56+G56+H56+I56+J56+K56+L56+M56+N56+O56</f>
        <v>36542.886137999994</v>
      </c>
      <c r="Q56" s="80"/>
    </row>
    <row r="57" spans="1:17" s="4" customFormat="1" ht="21" customHeight="1">
      <c r="A57" s="123" t="s">
        <v>35</v>
      </c>
      <c r="B57" s="123">
        <v>2273</v>
      </c>
      <c r="C57" s="6" t="s">
        <v>21</v>
      </c>
      <c r="D57" s="71">
        <v>100</v>
      </c>
      <c r="E57" s="71">
        <v>100</v>
      </c>
      <c r="F57" s="71">
        <v>100</v>
      </c>
      <c r="G57" s="71">
        <v>90</v>
      </c>
      <c r="H57" s="71">
        <v>90</v>
      </c>
      <c r="I57" s="71">
        <v>90</v>
      </c>
      <c r="J57" s="71">
        <v>90</v>
      </c>
      <c r="K57" s="71">
        <v>90</v>
      </c>
      <c r="L57" s="71">
        <v>90.8</v>
      </c>
      <c r="M57" s="71">
        <v>100</v>
      </c>
      <c r="N57" s="71">
        <v>100</v>
      </c>
      <c r="O57" s="71">
        <v>100</v>
      </c>
      <c r="P57" s="73">
        <f>SUM(D57:O57)</f>
        <v>1140.8</v>
      </c>
      <c r="Q57" s="80"/>
    </row>
    <row r="58" spans="1:17" s="4" customFormat="1" ht="15.75">
      <c r="A58" s="123"/>
      <c r="B58" s="123"/>
      <c r="C58" s="6" t="s">
        <v>22</v>
      </c>
      <c r="D58" s="91">
        <f>2.629836*D57</f>
        <v>262.9836</v>
      </c>
      <c r="E58" s="91">
        <f aca="true" t="shared" si="28" ref="E58:O58">2.629836*E57</f>
        <v>262.9836</v>
      </c>
      <c r="F58" s="91">
        <f t="shared" si="28"/>
        <v>262.9836</v>
      </c>
      <c r="G58" s="91">
        <f t="shared" si="28"/>
        <v>236.68524</v>
      </c>
      <c r="H58" s="91">
        <f t="shared" si="28"/>
        <v>236.68524</v>
      </c>
      <c r="I58" s="91">
        <f t="shared" si="28"/>
        <v>236.68524</v>
      </c>
      <c r="J58" s="91">
        <f t="shared" si="28"/>
        <v>236.68524</v>
      </c>
      <c r="K58" s="91">
        <f t="shared" si="28"/>
        <v>236.68524</v>
      </c>
      <c r="L58" s="91">
        <f t="shared" si="28"/>
        <v>238.7891088</v>
      </c>
      <c r="M58" s="91">
        <f t="shared" si="28"/>
        <v>262.9836</v>
      </c>
      <c r="N58" s="91">
        <f t="shared" si="28"/>
        <v>262.9836</v>
      </c>
      <c r="O58" s="91">
        <f t="shared" si="28"/>
        <v>262.9836</v>
      </c>
      <c r="P58" s="93">
        <f>D58+E58+F58+G58+H58+I58+J58+K58+L58+M58+N58+O58</f>
        <v>3000.1169088</v>
      </c>
      <c r="Q58" s="80"/>
    </row>
    <row r="59" spans="1:17" s="4" customFormat="1" ht="15.75" customHeight="1">
      <c r="A59" s="123" t="s">
        <v>36</v>
      </c>
      <c r="B59" s="123">
        <v>2273</v>
      </c>
      <c r="C59" s="6" t="s">
        <v>21</v>
      </c>
      <c r="D59" s="71">
        <v>100</v>
      </c>
      <c r="E59" s="71">
        <v>100</v>
      </c>
      <c r="F59" s="71">
        <v>100</v>
      </c>
      <c r="G59" s="71">
        <v>90</v>
      </c>
      <c r="H59" s="71">
        <v>90</v>
      </c>
      <c r="I59" s="71">
        <v>90</v>
      </c>
      <c r="J59" s="71">
        <v>90</v>
      </c>
      <c r="K59" s="71">
        <v>90</v>
      </c>
      <c r="L59" s="71">
        <v>90.8</v>
      </c>
      <c r="M59" s="71">
        <v>100</v>
      </c>
      <c r="N59" s="71">
        <v>100</v>
      </c>
      <c r="O59" s="72">
        <v>100</v>
      </c>
      <c r="P59" s="73">
        <f>SUM(D59:O59)</f>
        <v>1140.8</v>
      </c>
      <c r="Q59" s="80"/>
    </row>
    <row r="60" spans="1:17" s="4" customFormat="1" ht="15.75">
      <c r="A60" s="123"/>
      <c r="B60" s="123"/>
      <c r="C60" s="6" t="s">
        <v>22</v>
      </c>
      <c r="D60" s="91">
        <f>2.629836*D59</f>
        <v>262.9836</v>
      </c>
      <c r="E60" s="91">
        <f aca="true" t="shared" si="29" ref="E60:O60">2.629836*E59</f>
        <v>262.9836</v>
      </c>
      <c r="F60" s="91">
        <f t="shared" si="29"/>
        <v>262.9836</v>
      </c>
      <c r="G60" s="91">
        <f t="shared" si="29"/>
        <v>236.68524</v>
      </c>
      <c r="H60" s="91">
        <f t="shared" si="29"/>
        <v>236.68524</v>
      </c>
      <c r="I60" s="91">
        <f t="shared" si="29"/>
        <v>236.68524</v>
      </c>
      <c r="J60" s="91">
        <f t="shared" si="29"/>
        <v>236.68524</v>
      </c>
      <c r="K60" s="91">
        <f t="shared" si="29"/>
        <v>236.68524</v>
      </c>
      <c r="L60" s="91">
        <f t="shared" si="29"/>
        <v>238.7891088</v>
      </c>
      <c r="M60" s="91">
        <f t="shared" si="29"/>
        <v>262.9836</v>
      </c>
      <c r="N60" s="91">
        <f t="shared" si="29"/>
        <v>262.9836</v>
      </c>
      <c r="O60" s="91">
        <f t="shared" si="29"/>
        <v>262.9836</v>
      </c>
      <c r="P60" s="93">
        <f>D60+E60+F60+G60+H60+I60+J60+K60+L60+M60+N60+O60</f>
        <v>3000.1169088</v>
      </c>
      <c r="Q60" s="80"/>
    </row>
    <row r="61" spans="1:148" s="103" customFormat="1" ht="15.75" customHeight="1">
      <c r="A61" s="125" t="s">
        <v>37</v>
      </c>
      <c r="B61" s="125">
        <v>2273</v>
      </c>
      <c r="C61" s="6" t="s">
        <v>21</v>
      </c>
      <c r="D61" s="71">
        <v>185</v>
      </c>
      <c r="E61" s="71">
        <v>185</v>
      </c>
      <c r="F61" s="71">
        <v>185</v>
      </c>
      <c r="G61" s="71">
        <v>50</v>
      </c>
      <c r="H61" s="71">
        <v>25</v>
      </c>
      <c r="I61" s="71">
        <v>25</v>
      </c>
      <c r="J61" s="71">
        <v>25</v>
      </c>
      <c r="K61" s="71">
        <v>25</v>
      </c>
      <c r="L61" s="71">
        <v>25</v>
      </c>
      <c r="M61" s="71">
        <v>50</v>
      </c>
      <c r="N61" s="71">
        <v>180.6</v>
      </c>
      <c r="O61" s="72">
        <v>180</v>
      </c>
      <c r="P61" s="73">
        <f>SUM(D61:O61)</f>
        <v>1140.6</v>
      </c>
      <c r="Q61" s="82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</row>
    <row r="62" spans="1:148" s="103" customFormat="1" ht="15.75">
      <c r="A62" s="125"/>
      <c r="B62" s="125"/>
      <c r="C62" s="6" t="s">
        <v>22</v>
      </c>
      <c r="D62" s="91">
        <f aca="true" t="shared" si="30" ref="D62:O62">2.629836*D61</f>
        <v>486.51966</v>
      </c>
      <c r="E62" s="91">
        <f t="shared" si="30"/>
        <v>486.51966</v>
      </c>
      <c r="F62" s="91">
        <f t="shared" si="30"/>
        <v>486.51966</v>
      </c>
      <c r="G62" s="91">
        <f t="shared" si="30"/>
        <v>131.4918</v>
      </c>
      <c r="H62" s="91">
        <f t="shared" si="30"/>
        <v>65.7459</v>
      </c>
      <c r="I62" s="91">
        <f t="shared" si="30"/>
        <v>65.7459</v>
      </c>
      <c r="J62" s="91">
        <f t="shared" si="30"/>
        <v>65.7459</v>
      </c>
      <c r="K62" s="91">
        <f t="shared" si="30"/>
        <v>65.7459</v>
      </c>
      <c r="L62" s="91">
        <f t="shared" si="30"/>
        <v>65.7459</v>
      </c>
      <c r="M62" s="91">
        <f t="shared" si="30"/>
        <v>131.4918</v>
      </c>
      <c r="N62" s="91">
        <f t="shared" si="30"/>
        <v>474.9483816</v>
      </c>
      <c r="O62" s="91">
        <f t="shared" si="30"/>
        <v>473.37048</v>
      </c>
      <c r="P62" s="93">
        <f>D62+E62+F62+G62+H62+I62+J62+K62+L62+M62+N62+O62</f>
        <v>2999.5909416</v>
      </c>
      <c r="Q62" s="82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</row>
    <row r="63" spans="1:17" s="4" customFormat="1" ht="22.5" customHeight="1">
      <c r="A63" s="123" t="s">
        <v>38</v>
      </c>
      <c r="B63" s="123">
        <v>2273</v>
      </c>
      <c r="C63" s="6" t="s">
        <v>21</v>
      </c>
      <c r="D63" s="71">
        <v>200</v>
      </c>
      <c r="E63" s="71">
        <v>200</v>
      </c>
      <c r="F63" s="71">
        <v>111</v>
      </c>
      <c r="G63" s="71">
        <v>100</v>
      </c>
      <c r="H63" s="71">
        <v>100</v>
      </c>
      <c r="I63" s="71">
        <v>100</v>
      </c>
      <c r="J63" s="71">
        <v>100</v>
      </c>
      <c r="K63" s="71">
        <v>100</v>
      </c>
      <c r="L63" s="71">
        <v>100</v>
      </c>
      <c r="M63" s="71">
        <v>200</v>
      </c>
      <c r="N63" s="71">
        <v>200</v>
      </c>
      <c r="O63" s="72">
        <v>200</v>
      </c>
      <c r="P63" s="73">
        <f>SUM(D63:O63)</f>
        <v>1711</v>
      </c>
      <c r="Q63" s="80"/>
    </row>
    <row r="64" spans="1:17" s="4" customFormat="1" ht="15.75">
      <c r="A64" s="123"/>
      <c r="B64" s="123"/>
      <c r="C64" s="6" t="s">
        <v>22</v>
      </c>
      <c r="D64" s="91">
        <f aca="true" t="shared" si="31" ref="D64:O64">2.629836*D63</f>
        <v>525.9672</v>
      </c>
      <c r="E64" s="91">
        <f t="shared" si="31"/>
        <v>525.9672</v>
      </c>
      <c r="F64" s="91">
        <f t="shared" si="31"/>
        <v>291.911796</v>
      </c>
      <c r="G64" s="91">
        <f t="shared" si="31"/>
        <v>262.9836</v>
      </c>
      <c r="H64" s="91">
        <f t="shared" si="31"/>
        <v>262.9836</v>
      </c>
      <c r="I64" s="91">
        <f t="shared" si="31"/>
        <v>262.9836</v>
      </c>
      <c r="J64" s="91">
        <f t="shared" si="31"/>
        <v>262.9836</v>
      </c>
      <c r="K64" s="91">
        <f t="shared" si="31"/>
        <v>262.9836</v>
      </c>
      <c r="L64" s="91">
        <f t="shared" si="31"/>
        <v>262.9836</v>
      </c>
      <c r="M64" s="91">
        <f t="shared" si="31"/>
        <v>525.9672</v>
      </c>
      <c r="N64" s="91">
        <f t="shared" si="31"/>
        <v>525.9672</v>
      </c>
      <c r="O64" s="91">
        <f t="shared" si="31"/>
        <v>525.9672</v>
      </c>
      <c r="P64" s="93">
        <f>D64+E64+F64+G64+H64+I64+J64+K64+L64+M64+N64+O64</f>
        <v>4499.649396000001</v>
      </c>
      <c r="Q64" s="80"/>
    </row>
    <row r="65" spans="1:17" s="4" customFormat="1" ht="15.75" customHeight="1">
      <c r="A65" s="123" t="s">
        <v>39</v>
      </c>
      <c r="B65" s="123">
        <v>2273</v>
      </c>
      <c r="C65" s="6" t="s">
        <v>21</v>
      </c>
      <c r="D65" s="71">
        <v>100</v>
      </c>
      <c r="E65" s="71">
        <v>100</v>
      </c>
      <c r="F65" s="71">
        <v>100</v>
      </c>
      <c r="G65" s="71">
        <v>90</v>
      </c>
      <c r="H65" s="71">
        <v>90</v>
      </c>
      <c r="I65" s="71">
        <v>90</v>
      </c>
      <c r="J65" s="71">
        <v>90</v>
      </c>
      <c r="K65" s="71">
        <v>90</v>
      </c>
      <c r="L65" s="71">
        <v>90.8</v>
      </c>
      <c r="M65" s="71">
        <v>100</v>
      </c>
      <c r="N65" s="71">
        <v>100</v>
      </c>
      <c r="O65" s="72">
        <v>100</v>
      </c>
      <c r="P65" s="73">
        <f>SUM(D65:O65)</f>
        <v>1140.8</v>
      </c>
      <c r="Q65" s="80"/>
    </row>
    <row r="66" spans="1:17" s="4" customFormat="1" ht="15.75">
      <c r="A66" s="123"/>
      <c r="B66" s="123"/>
      <c r="C66" s="6" t="s">
        <v>22</v>
      </c>
      <c r="D66" s="91">
        <f>2.629836*D65</f>
        <v>262.9836</v>
      </c>
      <c r="E66" s="91">
        <f aca="true" t="shared" si="32" ref="E66:O66">2.629836*E65</f>
        <v>262.9836</v>
      </c>
      <c r="F66" s="91">
        <f t="shared" si="32"/>
        <v>262.9836</v>
      </c>
      <c r="G66" s="91">
        <f t="shared" si="32"/>
        <v>236.68524</v>
      </c>
      <c r="H66" s="91">
        <f t="shared" si="32"/>
        <v>236.68524</v>
      </c>
      <c r="I66" s="91">
        <f t="shared" si="32"/>
        <v>236.68524</v>
      </c>
      <c r="J66" s="91">
        <f t="shared" si="32"/>
        <v>236.68524</v>
      </c>
      <c r="K66" s="91">
        <f t="shared" si="32"/>
        <v>236.68524</v>
      </c>
      <c r="L66" s="91">
        <f t="shared" si="32"/>
        <v>238.7891088</v>
      </c>
      <c r="M66" s="91">
        <f t="shared" si="32"/>
        <v>262.9836</v>
      </c>
      <c r="N66" s="91">
        <f t="shared" si="32"/>
        <v>262.9836</v>
      </c>
      <c r="O66" s="91">
        <f t="shared" si="32"/>
        <v>262.9836</v>
      </c>
      <c r="P66" s="93">
        <f>D66+E66+F66+G66+H66+I66+J66+K66+L66+M66+N66+O66</f>
        <v>3000.1169088</v>
      </c>
      <c r="Q66" s="80"/>
    </row>
    <row r="67" spans="1:20" s="4" customFormat="1" ht="15.75" customHeight="1">
      <c r="A67" s="123" t="s">
        <v>40</v>
      </c>
      <c r="B67" s="123">
        <v>2273</v>
      </c>
      <c r="C67" s="6" t="s">
        <v>21</v>
      </c>
      <c r="D67" s="71">
        <v>100</v>
      </c>
      <c r="E67" s="71">
        <v>100</v>
      </c>
      <c r="F67" s="71">
        <v>100</v>
      </c>
      <c r="G67" s="71">
        <v>90</v>
      </c>
      <c r="H67" s="71">
        <v>90</v>
      </c>
      <c r="I67" s="71">
        <v>90</v>
      </c>
      <c r="J67" s="71">
        <v>90</v>
      </c>
      <c r="K67" s="71">
        <v>90</v>
      </c>
      <c r="L67" s="71">
        <v>90.8</v>
      </c>
      <c r="M67" s="71">
        <v>100</v>
      </c>
      <c r="N67" s="71">
        <v>100</v>
      </c>
      <c r="O67" s="72">
        <v>100</v>
      </c>
      <c r="P67" s="73">
        <f>SUM(D67:O67)</f>
        <v>1140.8</v>
      </c>
      <c r="Q67" s="80"/>
      <c r="T67" s="63"/>
    </row>
    <row r="68" spans="1:17" s="4" customFormat="1" ht="15.75">
      <c r="A68" s="123"/>
      <c r="B68" s="123"/>
      <c r="C68" s="6" t="s">
        <v>22</v>
      </c>
      <c r="D68" s="91">
        <f>2.629836*D67</f>
        <v>262.9836</v>
      </c>
      <c r="E68" s="91">
        <f aca="true" t="shared" si="33" ref="E68:O68">2.629836*E67</f>
        <v>262.9836</v>
      </c>
      <c r="F68" s="91">
        <f t="shared" si="33"/>
        <v>262.9836</v>
      </c>
      <c r="G68" s="91">
        <f t="shared" si="33"/>
        <v>236.68524</v>
      </c>
      <c r="H68" s="91">
        <f t="shared" si="33"/>
        <v>236.68524</v>
      </c>
      <c r="I68" s="91">
        <f t="shared" si="33"/>
        <v>236.68524</v>
      </c>
      <c r="J68" s="91">
        <f t="shared" si="33"/>
        <v>236.68524</v>
      </c>
      <c r="K68" s="91">
        <f t="shared" si="33"/>
        <v>236.68524</v>
      </c>
      <c r="L68" s="91">
        <f t="shared" si="33"/>
        <v>238.7891088</v>
      </c>
      <c r="M68" s="91">
        <f t="shared" si="33"/>
        <v>262.9836</v>
      </c>
      <c r="N68" s="91">
        <f t="shared" si="33"/>
        <v>262.9836</v>
      </c>
      <c r="O68" s="91">
        <f t="shared" si="33"/>
        <v>262.9836</v>
      </c>
      <c r="P68" s="93">
        <f>D68+E68+F68+G68+H68+I68+J68+K68+L68+M68+N68+O68</f>
        <v>3000.1169088</v>
      </c>
      <c r="Q68" s="80"/>
    </row>
    <row r="69" spans="1:17" s="4" customFormat="1" ht="15.75" customHeight="1">
      <c r="A69" s="123" t="s">
        <v>41</v>
      </c>
      <c r="B69" s="123">
        <v>2273</v>
      </c>
      <c r="C69" s="6" t="s">
        <v>21</v>
      </c>
      <c r="D69" s="71">
        <v>100</v>
      </c>
      <c r="E69" s="71">
        <v>100</v>
      </c>
      <c r="F69" s="71">
        <v>100</v>
      </c>
      <c r="G69" s="71">
        <v>90</v>
      </c>
      <c r="H69" s="71">
        <v>90</v>
      </c>
      <c r="I69" s="71">
        <v>90</v>
      </c>
      <c r="J69" s="71">
        <v>90</v>
      </c>
      <c r="K69" s="71">
        <v>90</v>
      </c>
      <c r="L69" s="71">
        <v>90.8</v>
      </c>
      <c r="M69" s="71">
        <v>100</v>
      </c>
      <c r="N69" s="71">
        <v>100</v>
      </c>
      <c r="O69" s="72">
        <v>100</v>
      </c>
      <c r="P69" s="73">
        <f>SUM(D69:O69)</f>
        <v>1140.8</v>
      </c>
      <c r="Q69" s="80"/>
    </row>
    <row r="70" spans="1:17" s="4" customFormat="1" ht="15.75">
      <c r="A70" s="123"/>
      <c r="B70" s="123"/>
      <c r="C70" s="6" t="s">
        <v>22</v>
      </c>
      <c r="D70" s="91">
        <f>2.629836*D69</f>
        <v>262.9836</v>
      </c>
      <c r="E70" s="91">
        <f aca="true" t="shared" si="34" ref="E70:O70">2.629836*E69</f>
        <v>262.9836</v>
      </c>
      <c r="F70" s="91">
        <f t="shared" si="34"/>
        <v>262.9836</v>
      </c>
      <c r="G70" s="91">
        <f t="shared" si="34"/>
        <v>236.68524</v>
      </c>
      <c r="H70" s="91">
        <f t="shared" si="34"/>
        <v>236.68524</v>
      </c>
      <c r="I70" s="91">
        <f t="shared" si="34"/>
        <v>236.68524</v>
      </c>
      <c r="J70" s="91">
        <f t="shared" si="34"/>
        <v>236.68524</v>
      </c>
      <c r="K70" s="91">
        <f t="shared" si="34"/>
        <v>236.68524</v>
      </c>
      <c r="L70" s="91">
        <f t="shared" si="34"/>
        <v>238.7891088</v>
      </c>
      <c r="M70" s="91">
        <f t="shared" si="34"/>
        <v>262.9836</v>
      </c>
      <c r="N70" s="91">
        <f t="shared" si="34"/>
        <v>262.9836</v>
      </c>
      <c r="O70" s="91">
        <f t="shared" si="34"/>
        <v>262.9836</v>
      </c>
      <c r="P70" s="93">
        <f>D70+E70+F70+G70+H70+I70+J70+K70+L70+M70+N70+O70</f>
        <v>3000.1169088</v>
      </c>
      <c r="Q70" s="80"/>
    </row>
    <row r="71" spans="1:17" s="4" customFormat="1" ht="15.75" customHeight="1">
      <c r="A71" s="126" t="s">
        <v>144</v>
      </c>
      <c r="B71" s="126">
        <v>2273</v>
      </c>
      <c r="C71" s="7" t="s">
        <v>21</v>
      </c>
      <c r="D71" s="76">
        <v>200</v>
      </c>
      <c r="E71" s="76">
        <v>200</v>
      </c>
      <c r="F71" s="76">
        <v>200</v>
      </c>
      <c r="G71" s="76">
        <v>200</v>
      </c>
      <c r="H71" s="76">
        <v>170</v>
      </c>
      <c r="I71" s="76">
        <v>170</v>
      </c>
      <c r="J71" s="76">
        <v>170</v>
      </c>
      <c r="K71" s="76">
        <v>171.5</v>
      </c>
      <c r="L71" s="76">
        <v>200</v>
      </c>
      <c r="M71" s="76">
        <v>200</v>
      </c>
      <c r="N71" s="76">
        <v>200</v>
      </c>
      <c r="O71" s="77">
        <v>200</v>
      </c>
      <c r="P71" s="78">
        <f>SUM(D71:O71)</f>
        <v>2281.5</v>
      </c>
      <c r="Q71" s="80"/>
    </row>
    <row r="72" spans="1:18" s="4" customFormat="1" ht="34.5" customHeight="1">
      <c r="A72" s="126"/>
      <c r="B72" s="126"/>
      <c r="C72" s="7" t="s">
        <v>22</v>
      </c>
      <c r="D72" s="88">
        <f>2.629836*D71</f>
        <v>525.9672</v>
      </c>
      <c r="E72" s="88">
        <f aca="true" t="shared" si="35" ref="E72:O72">2.629836*E71</f>
        <v>525.9672</v>
      </c>
      <c r="F72" s="88">
        <f t="shared" si="35"/>
        <v>525.9672</v>
      </c>
      <c r="G72" s="88">
        <f t="shared" si="35"/>
        <v>525.9672</v>
      </c>
      <c r="H72" s="88">
        <f t="shared" si="35"/>
        <v>447.07212</v>
      </c>
      <c r="I72" s="88">
        <f t="shared" si="35"/>
        <v>447.07212</v>
      </c>
      <c r="J72" s="88">
        <f t="shared" si="35"/>
        <v>447.07212</v>
      </c>
      <c r="K72" s="88">
        <f t="shared" si="35"/>
        <v>451.01687400000003</v>
      </c>
      <c r="L72" s="88">
        <f t="shared" si="35"/>
        <v>525.9672</v>
      </c>
      <c r="M72" s="88">
        <f t="shared" si="35"/>
        <v>525.9672</v>
      </c>
      <c r="N72" s="88">
        <f t="shared" si="35"/>
        <v>525.9672</v>
      </c>
      <c r="O72" s="88">
        <f t="shared" si="35"/>
        <v>525.9672</v>
      </c>
      <c r="P72" s="90">
        <f>D72+E72+F72+G72+H72+J72+I72+K72+L72+M72+N72+O72</f>
        <v>5999.970834</v>
      </c>
      <c r="Q72" s="83"/>
      <c r="R72" s="74"/>
    </row>
    <row r="73" spans="1:18" s="4" customFormat="1" ht="15.75" customHeight="1">
      <c r="A73" s="126" t="s">
        <v>151</v>
      </c>
      <c r="B73" s="126">
        <v>2273</v>
      </c>
      <c r="C73" s="7" t="s">
        <v>21</v>
      </c>
      <c r="D73" s="88">
        <f>D81+D83+D75+D77+D79</f>
        <v>12570</v>
      </c>
      <c r="E73" s="88">
        <f aca="true" t="shared" si="36" ref="E73:P73">E81+E83+E75+E77+E79</f>
        <v>12570</v>
      </c>
      <c r="F73" s="88">
        <f t="shared" si="36"/>
        <v>11589</v>
      </c>
      <c r="G73" s="88">
        <f t="shared" si="36"/>
        <v>10262.3</v>
      </c>
      <c r="H73" s="88">
        <f t="shared" si="36"/>
        <v>9460</v>
      </c>
      <c r="I73" s="88">
        <f t="shared" si="36"/>
        <v>8760</v>
      </c>
      <c r="J73" s="88">
        <f t="shared" si="36"/>
        <v>8760</v>
      </c>
      <c r="K73" s="88">
        <f t="shared" si="36"/>
        <v>8760</v>
      </c>
      <c r="L73" s="88">
        <f t="shared" si="36"/>
        <v>11570</v>
      </c>
      <c r="M73" s="88">
        <f t="shared" si="36"/>
        <v>13570</v>
      </c>
      <c r="N73" s="88">
        <f t="shared" si="36"/>
        <v>12544</v>
      </c>
      <c r="O73" s="88">
        <f t="shared" si="36"/>
        <v>12673</v>
      </c>
      <c r="P73" s="88">
        <f t="shared" si="36"/>
        <v>133088.3</v>
      </c>
      <c r="Q73" s="85"/>
      <c r="R73" s="74"/>
    </row>
    <row r="74" spans="1:18" s="4" customFormat="1" ht="20.25">
      <c r="A74" s="133"/>
      <c r="B74" s="126"/>
      <c r="C74" s="7" t="s">
        <v>22</v>
      </c>
      <c r="D74" s="88">
        <f>D82+D84+D76+D78+D80</f>
        <v>33057.03852</v>
      </c>
      <c r="E74" s="88">
        <f aca="true" t="shared" si="37" ref="E74:P74">E82+E84+E76+E78+E80</f>
        <v>33057.03852</v>
      </c>
      <c r="F74" s="88">
        <f t="shared" si="37"/>
        <v>30477.169404000007</v>
      </c>
      <c r="G74" s="88">
        <f t="shared" si="37"/>
        <v>26988.165982800005</v>
      </c>
      <c r="H74" s="88">
        <f t="shared" si="37"/>
        <v>24878.248560000004</v>
      </c>
      <c r="I74" s="88">
        <f t="shared" si="37"/>
        <v>23037.363360000003</v>
      </c>
      <c r="J74" s="88">
        <f t="shared" si="37"/>
        <v>23037.363360000003</v>
      </c>
      <c r="K74" s="88">
        <f t="shared" si="37"/>
        <v>23037.363360000003</v>
      </c>
      <c r="L74" s="88">
        <f t="shared" si="37"/>
        <v>30427.202520000006</v>
      </c>
      <c r="M74" s="88">
        <f t="shared" si="37"/>
        <v>35686.874520000005</v>
      </c>
      <c r="N74" s="88">
        <f t="shared" si="37"/>
        <v>32988.662784</v>
      </c>
      <c r="O74" s="88">
        <f t="shared" si="37"/>
        <v>33327.911628</v>
      </c>
      <c r="P74" s="88">
        <f t="shared" si="37"/>
        <v>350000.4025188</v>
      </c>
      <c r="Q74" s="109"/>
      <c r="R74" s="74"/>
    </row>
    <row r="75" spans="1:18" s="4" customFormat="1" ht="15.75">
      <c r="A75" s="95" t="s">
        <v>132</v>
      </c>
      <c r="B75" s="94">
        <v>2273</v>
      </c>
      <c r="C75" s="7" t="s">
        <v>21</v>
      </c>
      <c r="D75" s="98">
        <v>600</v>
      </c>
      <c r="E75" s="98">
        <v>600</v>
      </c>
      <c r="F75" s="98">
        <v>600</v>
      </c>
      <c r="G75" s="98">
        <v>600</v>
      </c>
      <c r="H75" s="98">
        <v>600</v>
      </c>
      <c r="I75" s="98">
        <v>600</v>
      </c>
      <c r="J75" s="98">
        <v>600</v>
      </c>
      <c r="K75" s="98">
        <v>600</v>
      </c>
      <c r="L75" s="98">
        <v>610</v>
      </c>
      <c r="M75" s="98">
        <v>700</v>
      </c>
      <c r="N75" s="98">
        <v>700</v>
      </c>
      <c r="O75" s="99">
        <v>700</v>
      </c>
      <c r="P75" s="69">
        <f>D75+E75+F75+G75+H75+I75+J75+K75+L75+M75+N75+O75</f>
        <v>7510</v>
      </c>
      <c r="Q75" s="84"/>
      <c r="R75" s="74"/>
    </row>
    <row r="76" spans="1:18" s="4" customFormat="1" ht="15.75">
      <c r="A76" s="97"/>
      <c r="B76" s="94">
        <v>2273</v>
      </c>
      <c r="C76" s="7" t="s">
        <v>22</v>
      </c>
      <c r="D76" s="98">
        <f aca="true" t="shared" si="38" ref="D76:O76">2.629836*D75</f>
        <v>1577.9016000000001</v>
      </c>
      <c r="E76" s="98">
        <f t="shared" si="38"/>
        <v>1577.9016000000001</v>
      </c>
      <c r="F76" s="98">
        <f t="shared" si="38"/>
        <v>1577.9016000000001</v>
      </c>
      <c r="G76" s="98">
        <f t="shared" si="38"/>
        <v>1577.9016000000001</v>
      </c>
      <c r="H76" s="98">
        <f t="shared" si="38"/>
        <v>1577.9016000000001</v>
      </c>
      <c r="I76" s="98">
        <f t="shared" si="38"/>
        <v>1577.9016000000001</v>
      </c>
      <c r="J76" s="98">
        <f t="shared" si="38"/>
        <v>1577.9016000000001</v>
      </c>
      <c r="K76" s="98">
        <f t="shared" si="38"/>
        <v>1577.9016000000001</v>
      </c>
      <c r="L76" s="98">
        <f t="shared" si="38"/>
        <v>1604.1999600000001</v>
      </c>
      <c r="M76" s="98">
        <f t="shared" si="38"/>
        <v>1840.8852</v>
      </c>
      <c r="N76" s="98">
        <f t="shared" si="38"/>
        <v>1840.8852</v>
      </c>
      <c r="O76" s="98">
        <f t="shared" si="38"/>
        <v>1840.8852</v>
      </c>
      <c r="P76" s="69">
        <f>D76+E76+F76+G76+H76+I76+J76+K76+L76+M76+N76+O76</f>
        <v>19750.06836</v>
      </c>
      <c r="Q76" s="84"/>
      <c r="R76" s="74"/>
    </row>
    <row r="77" spans="1:18" s="4" customFormat="1" ht="15.75">
      <c r="A77" s="95" t="s">
        <v>133</v>
      </c>
      <c r="B77" s="94">
        <v>2273</v>
      </c>
      <c r="C77" s="7" t="s">
        <v>21</v>
      </c>
      <c r="D77" s="98">
        <v>290</v>
      </c>
      <c r="E77" s="98">
        <v>290</v>
      </c>
      <c r="F77" s="98">
        <v>290</v>
      </c>
      <c r="G77" s="98">
        <v>282.3</v>
      </c>
      <c r="H77" s="98">
        <v>280</v>
      </c>
      <c r="I77" s="98">
        <v>280</v>
      </c>
      <c r="J77" s="98">
        <v>280</v>
      </c>
      <c r="K77" s="98">
        <v>280</v>
      </c>
      <c r="L77" s="98">
        <v>280</v>
      </c>
      <c r="M77" s="98">
        <v>290</v>
      </c>
      <c r="N77" s="98">
        <v>290</v>
      </c>
      <c r="O77" s="98">
        <v>290</v>
      </c>
      <c r="P77" s="69">
        <f>D77+E77+F77+G77+H77+I77+J77+K77+L77+M77+N77+O77</f>
        <v>3422.3</v>
      </c>
      <c r="Q77" s="84"/>
      <c r="R77" s="74"/>
    </row>
    <row r="78" spans="1:18" s="4" customFormat="1" ht="15.75">
      <c r="A78" s="97"/>
      <c r="B78" s="94">
        <v>2273</v>
      </c>
      <c r="C78" s="7" t="s">
        <v>22</v>
      </c>
      <c r="D78" s="98">
        <f>2.629836*D77</f>
        <v>762.6524400000001</v>
      </c>
      <c r="E78" s="98">
        <f aca="true" t="shared" si="39" ref="E78:O78">2.629836*E77</f>
        <v>762.6524400000001</v>
      </c>
      <c r="F78" s="98">
        <f t="shared" si="39"/>
        <v>762.6524400000001</v>
      </c>
      <c r="G78" s="98">
        <f t="shared" si="39"/>
        <v>742.4027028</v>
      </c>
      <c r="H78" s="98">
        <f t="shared" si="39"/>
        <v>736.3540800000001</v>
      </c>
      <c r="I78" s="98">
        <f t="shared" si="39"/>
        <v>736.3540800000001</v>
      </c>
      <c r="J78" s="98">
        <f t="shared" si="39"/>
        <v>736.3540800000001</v>
      </c>
      <c r="K78" s="98">
        <f t="shared" si="39"/>
        <v>736.3540800000001</v>
      </c>
      <c r="L78" s="98">
        <f t="shared" si="39"/>
        <v>736.3540800000001</v>
      </c>
      <c r="M78" s="98">
        <f t="shared" si="39"/>
        <v>762.6524400000001</v>
      </c>
      <c r="N78" s="98">
        <f t="shared" si="39"/>
        <v>762.6524400000001</v>
      </c>
      <c r="O78" s="98">
        <f t="shared" si="39"/>
        <v>762.6524400000001</v>
      </c>
      <c r="P78" s="69">
        <f>D78+E78+F78+G78+H78+I78+K78+L78+M78+N78+O78+J78</f>
        <v>9000.087742800002</v>
      </c>
      <c r="Q78" s="84"/>
      <c r="R78" s="74"/>
    </row>
    <row r="79" spans="1:18" s="4" customFormat="1" ht="15.75">
      <c r="A79" s="95" t="s">
        <v>134</v>
      </c>
      <c r="B79" s="94">
        <v>2273</v>
      </c>
      <c r="C79" s="7" t="s">
        <v>21</v>
      </c>
      <c r="D79" s="98">
        <v>3300</v>
      </c>
      <c r="E79" s="98">
        <v>3300</v>
      </c>
      <c r="F79" s="98">
        <v>2319</v>
      </c>
      <c r="G79" s="98">
        <v>1500</v>
      </c>
      <c r="H79" s="98">
        <v>1500</v>
      </c>
      <c r="I79" s="98">
        <v>1500</v>
      </c>
      <c r="J79" s="98">
        <v>1500</v>
      </c>
      <c r="K79" s="98">
        <v>1500</v>
      </c>
      <c r="L79" s="98">
        <v>2300</v>
      </c>
      <c r="M79" s="98">
        <v>3200</v>
      </c>
      <c r="N79" s="98">
        <v>3300</v>
      </c>
      <c r="O79" s="99">
        <v>3300</v>
      </c>
      <c r="P79" s="69">
        <f>D79+E79+F79+G79+H79+I79+J79+K79+L79+M79+N79+O79</f>
        <v>28519</v>
      </c>
      <c r="Q79" s="84"/>
      <c r="R79" s="74"/>
    </row>
    <row r="80" spans="1:18" s="4" customFormat="1" ht="15.75">
      <c r="A80" s="96"/>
      <c r="B80" s="94">
        <v>2273</v>
      </c>
      <c r="C80" s="7" t="s">
        <v>22</v>
      </c>
      <c r="D80" s="98">
        <f aca="true" t="shared" si="40" ref="D80:O80">2.629836*D79</f>
        <v>8678.4588</v>
      </c>
      <c r="E80" s="98">
        <f t="shared" si="40"/>
        <v>8678.4588</v>
      </c>
      <c r="F80" s="98">
        <f t="shared" si="40"/>
        <v>6098.5896840000005</v>
      </c>
      <c r="G80" s="98">
        <f t="shared" si="40"/>
        <v>3944.754</v>
      </c>
      <c r="H80" s="98">
        <f t="shared" si="40"/>
        <v>3944.754</v>
      </c>
      <c r="I80" s="98">
        <f t="shared" si="40"/>
        <v>3944.754</v>
      </c>
      <c r="J80" s="98">
        <f t="shared" si="40"/>
        <v>3944.754</v>
      </c>
      <c r="K80" s="98">
        <f t="shared" si="40"/>
        <v>3944.754</v>
      </c>
      <c r="L80" s="98">
        <f t="shared" si="40"/>
        <v>6048.6228</v>
      </c>
      <c r="M80" s="98">
        <f t="shared" si="40"/>
        <v>8415.4752</v>
      </c>
      <c r="N80" s="98">
        <f t="shared" si="40"/>
        <v>8678.4588</v>
      </c>
      <c r="O80" s="98">
        <f t="shared" si="40"/>
        <v>8678.4588</v>
      </c>
      <c r="P80" s="69">
        <f>D80+E80+F80+G80+H80+I80+J80+K80+L80+M80+N80+O80</f>
        <v>75000.292884</v>
      </c>
      <c r="Q80" s="84"/>
      <c r="R80" s="74"/>
    </row>
    <row r="81" spans="1:18" s="4" customFormat="1" ht="17.25" customHeight="1">
      <c r="A81" s="130" t="s">
        <v>42</v>
      </c>
      <c r="B81" s="123">
        <v>2273</v>
      </c>
      <c r="C81" s="6" t="s">
        <v>21</v>
      </c>
      <c r="D81" s="91">
        <v>8000</v>
      </c>
      <c r="E81" s="91">
        <v>8000</v>
      </c>
      <c r="F81" s="91">
        <v>8000</v>
      </c>
      <c r="G81" s="91">
        <v>7500</v>
      </c>
      <c r="H81" s="91">
        <v>6700</v>
      </c>
      <c r="I81" s="91">
        <v>6000</v>
      </c>
      <c r="J81" s="91">
        <v>6000</v>
      </c>
      <c r="K81" s="91">
        <v>6000</v>
      </c>
      <c r="L81" s="91">
        <v>8000</v>
      </c>
      <c r="M81" s="91">
        <v>9000</v>
      </c>
      <c r="N81" s="91">
        <v>7874</v>
      </c>
      <c r="O81" s="92">
        <v>8000</v>
      </c>
      <c r="P81" s="93">
        <f>SUM(D81:O81)</f>
        <v>89074</v>
      </c>
      <c r="Q81" s="82"/>
      <c r="R81" s="74"/>
    </row>
    <row r="82" spans="1:18" s="4" customFormat="1" ht="15.75">
      <c r="A82" s="123"/>
      <c r="B82" s="123"/>
      <c r="C82" s="6" t="s">
        <v>22</v>
      </c>
      <c r="D82" s="91">
        <f aca="true" t="shared" si="41" ref="D82:O82">2.629836*D81</f>
        <v>21038.688000000002</v>
      </c>
      <c r="E82" s="91">
        <f t="shared" si="41"/>
        <v>21038.688000000002</v>
      </c>
      <c r="F82" s="91">
        <f t="shared" si="41"/>
        <v>21038.688000000002</v>
      </c>
      <c r="G82" s="91">
        <f t="shared" si="41"/>
        <v>19723.77</v>
      </c>
      <c r="H82" s="91">
        <f t="shared" si="41"/>
        <v>17619.9012</v>
      </c>
      <c r="I82" s="91">
        <f t="shared" si="41"/>
        <v>15779.016</v>
      </c>
      <c r="J82" s="91">
        <f t="shared" si="41"/>
        <v>15779.016</v>
      </c>
      <c r="K82" s="91">
        <f t="shared" si="41"/>
        <v>15779.016</v>
      </c>
      <c r="L82" s="91">
        <f t="shared" si="41"/>
        <v>21038.688000000002</v>
      </c>
      <c r="M82" s="91">
        <f t="shared" si="41"/>
        <v>23668.524</v>
      </c>
      <c r="N82" s="91">
        <f t="shared" si="41"/>
        <v>20707.328664</v>
      </c>
      <c r="O82" s="91">
        <f t="shared" si="41"/>
        <v>21038.688000000002</v>
      </c>
      <c r="P82" s="93">
        <f>D82+E82+F82+G82+H82+I82+J82+K82+L82+M82+N82+O82</f>
        <v>234250.011864</v>
      </c>
      <c r="Q82" s="82"/>
      <c r="R82" s="74"/>
    </row>
    <row r="83" spans="1:18" s="4" customFormat="1" ht="17.25" customHeight="1">
      <c r="A83" s="123" t="s">
        <v>43</v>
      </c>
      <c r="B83" s="123">
        <v>2273</v>
      </c>
      <c r="C83" s="6" t="s">
        <v>21</v>
      </c>
      <c r="D83" s="91">
        <v>380</v>
      </c>
      <c r="E83" s="91">
        <v>380</v>
      </c>
      <c r="F83" s="91">
        <v>380</v>
      </c>
      <c r="G83" s="91">
        <v>380</v>
      </c>
      <c r="H83" s="91">
        <v>380</v>
      </c>
      <c r="I83" s="91">
        <v>380</v>
      </c>
      <c r="J83" s="91">
        <v>380</v>
      </c>
      <c r="K83" s="91">
        <v>380</v>
      </c>
      <c r="L83" s="91">
        <v>380</v>
      </c>
      <c r="M83" s="91">
        <v>380</v>
      </c>
      <c r="N83" s="91">
        <v>380</v>
      </c>
      <c r="O83" s="91">
        <v>383</v>
      </c>
      <c r="P83" s="93">
        <f>SUM(D83:O83)</f>
        <v>4563</v>
      </c>
      <c r="Q83" s="85"/>
      <c r="R83" s="74"/>
    </row>
    <row r="84" spans="1:18" s="4" customFormat="1" ht="15.75">
      <c r="A84" s="123"/>
      <c r="B84" s="123"/>
      <c r="C84" s="6" t="s">
        <v>22</v>
      </c>
      <c r="D84" s="91">
        <f>2.629836*D83</f>
        <v>999.33768</v>
      </c>
      <c r="E84" s="91">
        <f aca="true" t="shared" si="42" ref="E84:O84">2.629836*E83</f>
        <v>999.33768</v>
      </c>
      <c r="F84" s="91">
        <f t="shared" si="42"/>
        <v>999.33768</v>
      </c>
      <c r="G84" s="91">
        <f t="shared" si="42"/>
        <v>999.33768</v>
      </c>
      <c r="H84" s="91">
        <f t="shared" si="42"/>
        <v>999.33768</v>
      </c>
      <c r="I84" s="91">
        <f t="shared" si="42"/>
        <v>999.33768</v>
      </c>
      <c r="J84" s="91">
        <f t="shared" si="42"/>
        <v>999.33768</v>
      </c>
      <c r="K84" s="91">
        <f t="shared" si="42"/>
        <v>999.33768</v>
      </c>
      <c r="L84" s="91">
        <f t="shared" si="42"/>
        <v>999.33768</v>
      </c>
      <c r="M84" s="91">
        <f t="shared" si="42"/>
        <v>999.33768</v>
      </c>
      <c r="N84" s="91">
        <f t="shared" si="42"/>
        <v>999.33768</v>
      </c>
      <c r="O84" s="91">
        <f t="shared" si="42"/>
        <v>1007.2271880000001</v>
      </c>
      <c r="P84" s="93">
        <f>D84+E84+F84+G84+H84+I84+J84+K84+L84+M84+N84+O84</f>
        <v>11999.941668000001</v>
      </c>
      <c r="Q84" s="82"/>
      <c r="R84" s="74"/>
    </row>
    <row r="85" spans="1:18" s="4" customFormat="1" ht="15.75">
      <c r="A85" s="131" t="s">
        <v>145</v>
      </c>
      <c r="B85" s="132">
        <v>2273</v>
      </c>
      <c r="C85" s="7" t="s">
        <v>21</v>
      </c>
      <c r="D85" s="88">
        <f>D87+D89+D91+D95+D97+D93</f>
        <v>2095</v>
      </c>
      <c r="E85" s="88">
        <f aca="true" t="shared" si="43" ref="E85:M85">E87+E89+E91+E95+E97+E93</f>
        <v>2090</v>
      </c>
      <c r="F85" s="88">
        <f t="shared" si="43"/>
        <v>2060</v>
      </c>
      <c r="G85" s="88">
        <f t="shared" si="43"/>
        <v>760</v>
      </c>
      <c r="H85" s="88">
        <f t="shared" si="43"/>
        <v>670</v>
      </c>
      <c r="I85" s="88">
        <f t="shared" si="43"/>
        <v>670</v>
      </c>
      <c r="J85" s="88">
        <f t="shared" si="43"/>
        <v>670</v>
      </c>
      <c r="K85" s="88">
        <f t="shared" si="43"/>
        <v>670</v>
      </c>
      <c r="L85" s="88">
        <f t="shared" si="43"/>
        <v>672.4</v>
      </c>
      <c r="M85" s="88">
        <f t="shared" si="43"/>
        <v>2273.5</v>
      </c>
      <c r="N85" s="88">
        <f>N87+N89+N91+N95+N97+N93-251</f>
        <v>2049</v>
      </c>
      <c r="O85" s="89">
        <f>O87+O89+O91+O95+O97+O93-250</f>
        <v>2050</v>
      </c>
      <c r="P85" s="90">
        <f>D85+E85+F85+G85+H85+I85+J85+K85+L85+M85+N85+O85</f>
        <v>16729.9</v>
      </c>
      <c r="Q85" s="82"/>
      <c r="R85" s="74"/>
    </row>
    <row r="86" spans="1:18" s="4" customFormat="1" ht="15.75">
      <c r="A86" s="131"/>
      <c r="B86" s="132"/>
      <c r="C86" s="7" t="s">
        <v>22</v>
      </c>
      <c r="D86" s="88">
        <f>D88+D90+D92+D94+D96+D98</f>
        <v>5509.50642</v>
      </c>
      <c r="E86" s="88">
        <f aca="true" t="shared" si="44" ref="E86:O86">E88+E90+E92+E94+E96+E98</f>
        <v>5496.357239999999</v>
      </c>
      <c r="F86" s="88">
        <f t="shared" si="44"/>
        <v>5417.46216</v>
      </c>
      <c r="G86" s="88">
        <f t="shared" si="44"/>
        <v>1998.67536</v>
      </c>
      <c r="H86" s="88">
        <f t="shared" si="44"/>
        <v>1761.99012</v>
      </c>
      <c r="I86" s="88">
        <f t="shared" si="44"/>
        <v>1761.99012</v>
      </c>
      <c r="J86" s="88">
        <f t="shared" si="44"/>
        <v>1761.99012</v>
      </c>
      <c r="K86" s="88">
        <f t="shared" si="44"/>
        <v>1761.99012</v>
      </c>
      <c r="L86" s="88">
        <f t="shared" si="44"/>
        <v>1768.3017264</v>
      </c>
      <c r="M86" s="88">
        <f t="shared" si="44"/>
        <v>5978.932145999999</v>
      </c>
      <c r="N86" s="88">
        <f t="shared" si="44"/>
        <v>6048.622800000001</v>
      </c>
      <c r="O86" s="88">
        <f t="shared" si="44"/>
        <v>6048.622800000001</v>
      </c>
      <c r="P86" s="90">
        <f>P88+P90+P92+P94+P96+P98</f>
        <v>43999.5231324</v>
      </c>
      <c r="Q86" s="68"/>
      <c r="R86" s="75"/>
    </row>
    <row r="87" spans="1:18" s="4" customFormat="1" ht="19.5" customHeight="1">
      <c r="A87" s="123" t="s">
        <v>44</v>
      </c>
      <c r="B87" s="123">
        <v>2273</v>
      </c>
      <c r="C87" s="6" t="s">
        <v>21</v>
      </c>
      <c r="D87" s="71">
        <v>100</v>
      </c>
      <c r="E87" s="71">
        <v>100</v>
      </c>
      <c r="F87" s="71">
        <v>100</v>
      </c>
      <c r="G87" s="71">
        <v>90</v>
      </c>
      <c r="H87" s="71">
        <v>90</v>
      </c>
      <c r="I87" s="71">
        <v>90</v>
      </c>
      <c r="J87" s="71">
        <v>90</v>
      </c>
      <c r="K87" s="71">
        <v>90</v>
      </c>
      <c r="L87" s="71">
        <v>90.8</v>
      </c>
      <c r="M87" s="71">
        <v>100</v>
      </c>
      <c r="N87" s="71">
        <v>100</v>
      </c>
      <c r="O87" s="72">
        <v>100</v>
      </c>
      <c r="P87" s="73">
        <f>SUM(D87:O87)</f>
        <v>1140.8</v>
      </c>
      <c r="Q87" s="82"/>
      <c r="R87" s="113"/>
    </row>
    <row r="88" spans="1:17" s="4" customFormat="1" ht="15.75">
      <c r="A88" s="123"/>
      <c r="B88" s="123"/>
      <c r="C88" s="10" t="s">
        <v>45</v>
      </c>
      <c r="D88" s="91">
        <f>2.629836*D87</f>
        <v>262.9836</v>
      </c>
      <c r="E88" s="91">
        <f aca="true" t="shared" si="45" ref="E88:O88">2.629836*E87</f>
        <v>262.9836</v>
      </c>
      <c r="F88" s="91">
        <f t="shared" si="45"/>
        <v>262.9836</v>
      </c>
      <c r="G88" s="91">
        <f t="shared" si="45"/>
        <v>236.68524</v>
      </c>
      <c r="H88" s="91">
        <f t="shared" si="45"/>
        <v>236.68524</v>
      </c>
      <c r="I88" s="91">
        <f t="shared" si="45"/>
        <v>236.68524</v>
      </c>
      <c r="J88" s="91">
        <f t="shared" si="45"/>
        <v>236.68524</v>
      </c>
      <c r="K88" s="91">
        <f t="shared" si="45"/>
        <v>236.68524</v>
      </c>
      <c r="L88" s="91">
        <f t="shared" si="45"/>
        <v>238.7891088</v>
      </c>
      <c r="M88" s="91">
        <f t="shared" si="45"/>
        <v>262.9836</v>
      </c>
      <c r="N88" s="91">
        <f t="shared" si="45"/>
        <v>262.9836</v>
      </c>
      <c r="O88" s="91">
        <f t="shared" si="45"/>
        <v>262.9836</v>
      </c>
      <c r="P88" s="93">
        <f>D88+E88+F88+G88+H88+I88+J88+K88+L88+M88+N88+O88</f>
        <v>3000.1169088</v>
      </c>
      <c r="Q88" s="80"/>
    </row>
    <row r="89" spans="1:17" s="4" customFormat="1" ht="15.75" customHeight="1">
      <c r="A89" s="123" t="s">
        <v>46</v>
      </c>
      <c r="B89" s="123">
        <v>2273</v>
      </c>
      <c r="C89" s="11" t="s">
        <v>47</v>
      </c>
      <c r="D89" s="71">
        <v>100</v>
      </c>
      <c r="E89" s="71">
        <v>100</v>
      </c>
      <c r="F89" s="71">
        <v>100</v>
      </c>
      <c r="G89" s="71">
        <v>90</v>
      </c>
      <c r="H89" s="71">
        <v>90</v>
      </c>
      <c r="I89" s="71">
        <v>90</v>
      </c>
      <c r="J89" s="71">
        <v>90</v>
      </c>
      <c r="K89" s="71">
        <v>90</v>
      </c>
      <c r="L89" s="71">
        <v>90.8</v>
      </c>
      <c r="M89" s="71">
        <v>100</v>
      </c>
      <c r="N89" s="71">
        <v>100</v>
      </c>
      <c r="O89" s="72">
        <v>100</v>
      </c>
      <c r="P89" s="73">
        <f>SUM(D89:O89)</f>
        <v>1140.8</v>
      </c>
      <c r="Q89" s="80"/>
    </row>
    <row r="90" spans="1:17" s="4" customFormat="1" ht="15.75">
      <c r="A90" s="123"/>
      <c r="B90" s="123"/>
      <c r="C90" s="6" t="s">
        <v>22</v>
      </c>
      <c r="D90" s="91">
        <f>2.629836*D89</f>
        <v>262.9836</v>
      </c>
      <c r="E90" s="91">
        <f aca="true" t="shared" si="46" ref="E90:O90">2.629836*E89</f>
        <v>262.9836</v>
      </c>
      <c r="F90" s="91">
        <f t="shared" si="46"/>
        <v>262.9836</v>
      </c>
      <c r="G90" s="91">
        <f t="shared" si="46"/>
        <v>236.68524</v>
      </c>
      <c r="H90" s="91">
        <f t="shared" si="46"/>
        <v>236.68524</v>
      </c>
      <c r="I90" s="91">
        <f t="shared" si="46"/>
        <v>236.68524</v>
      </c>
      <c r="J90" s="91">
        <f t="shared" si="46"/>
        <v>236.68524</v>
      </c>
      <c r="K90" s="91">
        <f t="shared" si="46"/>
        <v>236.68524</v>
      </c>
      <c r="L90" s="91">
        <f t="shared" si="46"/>
        <v>238.7891088</v>
      </c>
      <c r="M90" s="91">
        <f t="shared" si="46"/>
        <v>262.9836</v>
      </c>
      <c r="N90" s="91">
        <f t="shared" si="46"/>
        <v>262.9836</v>
      </c>
      <c r="O90" s="91">
        <f t="shared" si="46"/>
        <v>262.9836</v>
      </c>
      <c r="P90" s="93">
        <f>D90+E90+F90+G90+H90+I90+J90+K90+L90+M90+N90+O90</f>
        <v>3000.1169088</v>
      </c>
      <c r="Q90" s="80"/>
    </row>
    <row r="91" spans="1:20" s="12" customFormat="1" ht="18" customHeight="1">
      <c r="A91" s="123" t="s">
        <v>48</v>
      </c>
      <c r="B91" s="123">
        <v>2273</v>
      </c>
      <c r="C91" s="6" t="s">
        <v>21</v>
      </c>
      <c r="D91" s="71">
        <v>100</v>
      </c>
      <c r="E91" s="71">
        <v>100</v>
      </c>
      <c r="F91" s="71">
        <v>100</v>
      </c>
      <c r="G91" s="71">
        <v>90</v>
      </c>
      <c r="H91" s="71">
        <v>90</v>
      </c>
      <c r="I91" s="71">
        <v>90</v>
      </c>
      <c r="J91" s="71">
        <v>90</v>
      </c>
      <c r="K91" s="71">
        <v>90</v>
      </c>
      <c r="L91" s="71">
        <v>90.8</v>
      </c>
      <c r="M91" s="71">
        <v>100</v>
      </c>
      <c r="N91" s="71">
        <v>100</v>
      </c>
      <c r="O91" s="72">
        <v>100</v>
      </c>
      <c r="P91" s="73">
        <f>SUM(D91:O91)</f>
        <v>1140.8</v>
      </c>
      <c r="Q91" s="80"/>
      <c r="T91" s="112"/>
    </row>
    <row r="92" spans="1:17" s="12" customFormat="1" ht="15.75">
      <c r="A92" s="123"/>
      <c r="B92" s="123"/>
      <c r="C92" s="6" t="s">
        <v>22</v>
      </c>
      <c r="D92" s="91">
        <f>2.629836*D91</f>
        <v>262.9836</v>
      </c>
      <c r="E92" s="91">
        <f aca="true" t="shared" si="47" ref="E92:O92">2.629836*E91</f>
        <v>262.9836</v>
      </c>
      <c r="F92" s="91">
        <f t="shared" si="47"/>
        <v>262.9836</v>
      </c>
      <c r="G92" s="91">
        <f t="shared" si="47"/>
        <v>236.68524</v>
      </c>
      <c r="H92" s="91">
        <f t="shared" si="47"/>
        <v>236.68524</v>
      </c>
      <c r="I92" s="91">
        <f t="shared" si="47"/>
        <v>236.68524</v>
      </c>
      <c r="J92" s="91">
        <f t="shared" si="47"/>
        <v>236.68524</v>
      </c>
      <c r="K92" s="91">
        <f t="shared" si="47"/>
        <v>236.68524</v>
      </c>
      <c r="L92" s="91">
        <f t="shared" si="47"/>
        <v>238.7891088</v>
      </c>
      <c r="M92" s="91">
        <f t="shared" si="47"/>
        <v>262.9836</v>
      </c>
      <c r="N92" s="91">
        <f t="shared" si="47"/>
        <v>262.9836</v>
      </c>
      <c r="O92" s="91">
        <f t="shared" si="47"/>
        <v>262.9836</v>
      </c>
      <c r="P92" s="93">
        <f>D92+E92+F92+G92+H92+I92+J92+K92+L92+M92+N92+O92</f>
        <v>3000.1169088</v>
      </c>
      <c r="Q92" s="80"/>
    </row>
    <row r="93" spans="1:17" s="12" customFormat="1" ht="15.75" customHeight="1">
      <c r="A93" s="123" t="s">
        <v>49</v>
      </c>
      <c r="B93" s="123">
        <v>2273</v>
      </c>
      <c r="C93" s="6" t="s">
        <v>21</v>
      </c>
      <c r="D93" s="71">
        <v>1500</v>
      </c>
      <c r="E93" s="71">
        <v>1500</v>
      </c>
      <c r="F93" s="71">
        <v>1520</v>
      </c>
      <c r="G93" s="71">
        <v>300</v>
      </c>
      <c r="H93" s="71">
        <v>300</v>
      </c>
      <c r="I93" s="71">
        <v>300</v>
      </c>
      <c r="J93" s="71">
        <v>300</v>
      </c>
      <c r="K93" s="71">
        <v>300</v>
      </c>
      <c r="L93" s="71">
        <v>300</v>
      </c>
      <c r="M93" s="71">
        <v>1687.5</v>
      </c>
      <c r="N93" s="71">
        <v>1700</v>
      </c>
      <c r="O93" s="72">
        <v>1700</v>
      </c>
      <c r="P93" s="73">
        <f>D93+E93+F93+G93+H93+I93+J93+K93+L93+M93+N93+O93</f>
        <v>11407.5</v>
      </c>
      <c r="Q93" s="80"/>
    </row>
    <row r="94" spans="1:17" s="12" customFormat="1" ht="15.75">
      <c r="A94" s="123"/>
      <c r="B94" s="123"/>
      <c r="C94" s="6" t="s">
        <v>22</v>
      </c>
      <c r="D94" s="91">
        <f aca="true" t="shared" si="48" ref="D94:O94">2.629836*D93</f>
        <v>3944.754</v>
      </c>
      <c r="E94" s="91">
        <f t="shared" si="48"/>
        <v>3944.754</v>
      </c>
      <c r="F94" s="91">
        <f t="shared" si="48"/>
        <v>3997.35072</v>
      </c>
      <c r="G94" s="91">
        <f t="shared" si="48"/>
        <v>788.9508000000001</v>
      </c>
      <c r="H94" s="91">
        <f t="shared" si="48"/>
        <v>788.9508000000001</v>
      </c>
      <c r="I94" s="91">
        <f t="shared" si="48"/>
        <v>788.9508000000001</v>
      </c>
      <c r="J94" s="91">
        <f t="shared" si="48"/>
        <v>788.9508000000001</v>
      </c>
      <c r="K94" s="91">
        <f t="shared" si="48"/>
        <v>788.9508000000001</v>
      </c>
      <c r="L94" s="91">
        <f t="shared" si="48"/>
        <v>788.9508000000001</v>
      </c>
      <c r="M94" s="91">
        <f t="shared" si="48"/>
        <v>4437.84825</v>
      </c>
      <c r="N94" s="91">
        <f t="shared" si="48"/>
        <v>4470.7212</v>
      </c>
      <c r="O94" s="91">
        <f t="shared" si="48"/>
        <v>4470.7212</v>
      </c>
      <c r="P94" s="93">
        <f>D94+E94+F94+G94+H94+I94+J94+K94+L94+M94+N94+O94</f>
        <v>29999.854170000002</v>
      </c>
      <c r="Q94" s="100"/>
    </row>
    <row r="95" spans="1:17" s="12" customFormat="1" ht="31.5" customHeight="1">
      <c r="A95" s="123" t="s">
        <v>50</v>
      </c>
      <c r="B95" s="123">
        <v>2273</v>
      </c>
      <c r="C95" s="6" t="s">
        <v>21</v>
      </c>
      <c r="D95" s="71">
        <v>200</v>
      </c>
      <c r="E95" s="71">
        <v>200</v>
      </c>
      <c r="F95" s="71">
        <v>150</v>
      </c>
      <c r="G95" s="71">
        <v>100</v>
      </c>
      <c r="H95" s="71">
        <v>100</v>
      </c>
      <c r="I95" s="71">
        <v>100</v>
      </c>
      <c r="J95" s="71">
        <v>100</v>
      </c>
      <c r="K95" s="71">
        <v>100</v>
      </c>
      <c r="L95" s="71">
        <v>100</v>
      </c>
      <c r="M95" s="71">
        <v>186</v>
      </c>
      <c r="N95" s="71">
        <v>200</v>
      </c>
      <c r="O95" s="72">
        <v>200</v>
      </c>
      <c r="P95" s="73">
        <f>SUM(D95:O95)</f>
        <v>1736</v>
      </c>
      <c r="Q95" s="80"/>
    </row>
    <row r="96" spans="1:17" s="12" customFormat="1" ht="15.75">
      <c r="A96" s="123"/>
      <c r="B96" s="123"/>
      <c r="C96" s="6" t="s">
        <v>22</v>
      </c>
      <c r="D96" s="91">
        <f aca="true" t="shared" si="49" ref="D96:O96">2.629836*D95</f>
        <v>525.9672</v>
      </c>
      <c r="E96" s="91">
        <f t="shared" si="49"/>
        <v>525.9672</v>
      </c>
      <c r="F96" s="91">
        <f t="shared" si="49"/>
        <v>394.47540000000004</v>
      </c>
      <c r="G96" s="91">
        <f t="shared" si="49"/>
        <v>262.9836</v>
      </c>
      <c r="H96" s="91">
        <f t="shared" si="49"/>
        <v>262.9836</v>
      </c>
      <c r="I96" s="91">
        <f t="shared" si="49"/>
        <v>262.9836</v>
      </c>
      <c r="J96" s="91">
        <f t="shared" si="49"/>
        <v>262.9836</v>
      </c>
      <c r="K96" s="91">
        <f t="shared" si="49"/>
        <v>262.9836</v>
      </c>
      <c r="L96" s="91">
        <f t="shared" si="49"/>
        <v>262.9836</v>
      </c>
      <c r="M96" s="91">
        <f t="shared" si="49"/>
        <v>489.149496</v>
      </c>
      <c r="N96" s="91">
        <f t="shared" si="49"/>
        <v>525.9672</v>
      </c>
      <c r="O96" s="91">
        <f t="shared" si="49"/>
        <v>525.9672</v>
      </c>
      <c r="P96" s="93">
        <f>D96+E96+F96+G96+M96+N96+O96</f>
        <v>3250.477296</v>
      </c>
      <c r="Q96" s="80" t="s">
        <v>149</v>
      </c>
    </row>
    <row r="97" spans="1:17" s="12" customFormat="1" ht="31.5" customHeight="1">
      <c r="A97" s="123" t="s">
        <v>51</v>
      </c>
      <c r="B97" s="123">
        <v>2273</v>
      </c>
      <c r="C97" s="6" t="s">
        <v>21</v>
      </c>
      <c r="D97" s="71">
        <v>95</v>
      </c>
      <c r="E97" s="71">
        <v>90</v>
      </c>
      <c r="F97" s="71">
        <v>90</v>
      </c>
      <c r="G97" s="71">
        <v>90</v>
      </c>
      <c r="H97" s="71"/>
      <c r="I97" s="71"/>
      <c r="J97" s="71"/>
      <c r="K97" s="71"/>
      <c r="L97" s="71"/>
      <c r="M97" s="71">
        <v>100</v>
      </c>
      <c r="N97" s="71">
        <v>100</v>
      </c>
      <c r="O97" s="72">
        <v>100</v>
      </c>
      <c r="P97" s="73">
        <f>SUM(D97:O97)</f>
        <v>665</v>
      </c>
      <c r="Q97" s="80"/>
    </row>
    <row r="98" spans="1:17" s="4" customFormat="1" ht="15.75">
      <c r="A98" s="123"/>
      <c r="B98" s="123"/>
      <c r="C98" s="6" t="s">
        <v>22</v>
      </c>
      <c r="D98" s="91">
        <f>2.629836*D97</f>
        <v>249.83442</v>
      </c>
      <c r="E98" s="91">
        <f>2.629836*E97</f>
        <v>236.68524</v>
      </c>
      <c r="F98" s="91">
        <f>2.629836*F97</f>
        <v>236.68524</v>
      </c>
      <c r="G98" s="91">
        <f>2.629836*G97</f>
        <v>236.68524</v>
      </c>
      <c r="H98" s="71"/>
      <c r="I98" s="71"/>
      <c r="J98" s="71"/>
      <c r="K98" s="71"/>
      <c r="L98" s="71"/>
      <c r="M98" s="91">
        <f>2.629836*M97</f>
        <v>262.9836</v>
      </c>
      <c r="N98" s="91">
        <f>2.629836*N97</f>
        <v>262.9836</v>
      </c>
      <c r="O98" s="91">
        <f>2.629836*O97</f>
        <v>262.9836</v>
      </c>
      <c r="P98" s="93">
        <f>D98+E98+F98+G98+M98+N98+O98</f>
        <v>1748.84094</v>
      </c>
      <c r="Q98" s="80"/>
    </row>
    <row r="99" spans="1:17" s="4" customFormat="1" ht="15.75" customHeight="1">
      <c r="A99" s="126" t="s">
        <v>52</v>
      </c>
      <c r="B99" s="126">
        <v>2273</v>
      </c>
      <c r="C99" s="7" t="s">
        <v>21</v>
      </c>
      <c r="D99" s="9">
        <f aca="true" t="shared" si="50" ref="D99:P99">D27+D29+D43+D45+D71+D73+D85</f>
        <v>76089.5</v>
      </c>
      <c r="E99" s="9">
        <f t="shared" si="50"/>
        <v>75945.8</v>
      </c>
      <c r="F99" s="9">
        <f t="shared" si="50"/>
        <v>69768.5</v>
      </c>
      <c r="G99" s="9">
        <f t="shared" si="50"/>
        <v>61893.3</v>
      </c>
      <c r="H99" s="9">
        <f t="shared" si="50"/>
        <v>39171</v>
      </c>
      <c r="I99" s="9">
        <f t="shared" si="50"/>
        <v>37964.7</v>
      </c>
      <c r="J99" s="9">
        <f t="shared" si="50"/>
        <v>38164.600000000006</v>
      </c>
      <c r="K99" s="9">
        <f t="shared" si="50"/>
        <v>38228.5</v>
      </c>
      <c r="L99" s="9">
        <f t="shared" si="50"/>
        <v>41068.4</v>
      </c>
      <c r="M99" s="9">
        <f t="shared" si="50"/>
        <v>72027.5</v>
      </c>
      <c r="N99" s="9">
        <f t="shared" si="50"/>
        <v>72714.6</v>
      </c>
      <c r="O99" s="65">
        <f t="shared" si="50"/>
        <v>77392.9</v>
      </c>
      <c r="P99" s="68">
        <f t="shared" si="50"/>
        <v>700429.2999999999</v>
      </c>
      <c r="Q99" s="80"/>
    </row>
    <row r="100" spans="1:17" s="4" customFormat="1" ht="15.75">
      <c r="A100" s="126"/>
      <c r="B100" s="126"/>
      <c r="C100" s="7" t="s">
        <v>22</v>
      </c>
      <c r="D100" s="9">
        <f aca="true" t="shared" si="51" ref="D100:O100">D28+D30+D44+D46+D72+D74+D86</f>
        <v>200102.906322</v>
      </c>
      <c r="E100" s="9">
        <f t="shared" si="51"/>
        <v>199724.99888880004</v>
      </c>
      <c r="F100" s="9">
        <f t="shared" si="51"/>
        <v>183479.71296600002</v>
      </c>
      <c r="G100" s="9">
        <f t="shared" si="51"/>
        <v>162769.22849880002</v>
      </c>
      <c r="H100" s="9">
        <f t="shared" si="51"/>
        <v>103013.30595600003</v>
      </c>
      <c r="I100" s="9">
        <f t="shared" si="51"/>
        <v>99840.93478920001</v>
      </c>
      <c r="J100" s="9">
        <f t="shared" si="51"/>
        <v>100366.63900560001</v>
      </c>
      <c r="K100" s="9">
        <f t="shared" si="51"/>
        <v>100534.68552600002</v>
      </c>
      <c r="L100" s="9">
        <f t="shared" si="51"/>
        <v>108003.1567824</v>
      </c>
      <c r="M100" s="9">
        <f t="shared" si="51"/>
        <v>189420.51249000002</v>
      </c>
      <c r="N100" s="9">
        <f t="shared" si="51"/>
        <v>191887.56164160004</v>
      </c>
      <c r="O100" s="65">
        <f t="shared" si="51"/>
        <v>204284.33860360002</v>
      </c>
      <c r="P100" s="68">
        <f>P28+P30+P44+P46+P72+P74+P86</f>
        <v>1842016.2436828003</v>
      </c>
      <c r="Q100" s="101"/>
    </row>
    <row r="101" spans="1:17" s="4" customFormat="1" ht="15.75">
      <c r="A101" s="13"/>
      <c r="B101" s="13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04"/>
      <c r="Q101" s="12"/>
    </row>
    <row r="102" spans="1:17" s="4" customFormat="1" ht="15.75">
      <c r="A102" s="13"/>
      <c r="B102" s="13"/>
      <c r="C102" s="1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2"/>
    </row>
    <row r="103" spans="1:17" s="4" customFormat="1" ht="15.75">
      <c r="A103" s="13"/>
      <c r="B103" s="13"/>
      <c r="C103" s="1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2"/>
    </row>
    <row r="104" spans="1:16" ht="15.75">
      <c r="A104" s="16"/>
      <c r="B104" s="16"/>
      <c r="C104" s="16"/>
      <c r="D104" s="17"/>
      <c r="E104" s="18" t="s">
        <v>53</v>
      </c>
      <c r="F104" s="18"/>
      <c r="G104" s="18"/>
      <c r="L104" s="19" t="s">
        <v>54</v>
      </c>
      <c r="M104" s="19"/>
      <c r="N104" s="19"/>
      <c r="O104" s="107"/>
      <c r="P104" s="104"/>
    </row>
    <row r="108" ht="12.75">
      <c r="O108" s="111"/>
    </row>
  </sheetData>
  <sheetProtection selectLockedCells="1" selectUnlockedCells="1"/>
  <mergeCells count="86">
    <mergeCell ref="A99:A100"/>
    <mergeCell ref="B99:B100"/>
    <mergeCell ref="A95:A96"/>
    <mergeCell ref="B95:B96"/>
    <mergeCell ref="A97:A98"/>
    <mergeCell ref="B97:B98"/>
    <mergeCell ref="A91:A92"/>
    <mergeCell ref="B91:B92"/>
    <mergeCell ref="A93:A94"/>
    <mergeCell ref="B93:B94"/>
    <mergeCell ref="A87:A88"/>
    <mergeCell ref="B87:B88"/>
    <mergeCell ref="A89:A90"/>
    <mergeCell ref="B89:B90"/>
    <mergeCell ref="A83:A84"/>
    <mergeCell ref="B83:B84"/>
    <mergeCell ref="A85:A86"/>
    <mergeCell ref="B85:B86"/>
    <mergeCell ref="A73:A74"/>
    <mergeCell ref="B73:B74"/>
    <mergeCell ref="A81:A82"/>
    <mergeCell ref="B81:B82"/>
    <mergeCell ref="A69:A70"/>
    <mergeCell ref="B69:B70"/>
    <mergeCell ref="A71:A72"/>
    <mergeCell ref="B71:B72"/>
    <mergeCell ref="A65:A66"/>
    <mergeCell ref="B65:B66"/>
    <mergeCell ref="A67:A68"/>
    <mergeCell ref="B67:B68"/>
    <mergeCell ref="A61:A62"/>
    <mergeCell ref="B61:B62"/>
    <mergeCell ref="A63:A64"/>
    <mergeCell ref="B63:B64"/>
    <mergeCell ref="A57:A58"/>
    <mergeCell ref="B57:B58"/>
    <mergeCell ref="A59:A60"/>
    <mergeCell ref="B59:B60"/>
    <mergeCell ref="A53:A54"/>
    <mergeCell ref="B53:B54"/>
    <mergeCell ref="A55:A56"/>
    <mergeCell ref="B55:B56"/>
    <mergeCell ref="A49:A50"/>
    <mergeCell ref="B49:B50"/>
    <mergeCell ref="A51:A52"/>
    <mergeCell ref="B51:B52"/>
    <mergeCell ref="A45:A46"/>
    <mergeCell ref="B45:B46"/>
    <mergeCell ref="A47:A48"/>
    <mergeCell ref="B47:B48"/>
    <mergeCell ref="A41:A42"/>
    <mergeCell ref="B41:B42"/>
    <mergeCell ref="A43:A44"/>
    <mergeCell ref="B43:B44"/>
    <mergeCell ref="A33:A34"/>
    <mergeCell ref="B33:B34"/>
    <mergeCell ref="A37:A38"/>
    <mergeCell ref="B37:B38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B21:B22"/>
    <mergeCell ref="A23:A24"/>
    <mergeCell ref="B23:B24"/>
    <mergeCell ref="A17:A18"/>
    <mergeCell ref="B17:B18"/>
    <mergeCell ref="A19:A20"/>
    <mergeCell ref="B19:B20"/>
    <mergeCell ref="A13:A14"/>
    <mergeCell ref="B13:B14"/>
    <mergeCell ref="A15:A16"/>
    <mergeCell ref="B15:B16"/>
    <mergeCell ref="A9:A10"/>
    <mergeCell ref="B9:B10"/>
    <mergeCell ref="A11:A12"/>
    <mergeCell ref="B11:B12"/>
    <mergeCell ref="A3:P3"/>
    <mergeCell ref="A4:P4"/>
    <mergeCell ref="A5:P5"/>
    <mergeCell ref="A6:P6"/>
  </mergeCells>
  <printOptions horizontalCentered="1"/>
  <pageMargins left="0.3298611111111111" right="0" top="0.2513888888888889" bottom="0.12638888888888888" header="0.5118055555555555" footer="0.5118055555555555"/>
  <pageSetup fitToHeight="2" fitToWidth="1" horizontalDpi="600" verticalDpi="600" orientation="landscape" paperSize="9" scale="60" r:id="rId1"/>
  <ignoredErrors>
    <ignoredError sqref="P10:P11 P18:P21 P22 P50 P68 P13:P15 P16:P17 P24 P83 P90 P81 P96 P32 P37 P55" formula="1"/>
    <ignoredError sqref="P9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showZeros="0" zoomScalePageLayoutView="0" workbookViewId="0" topLeftCell="A1">
      <selection activeCell="A25" sqref="A25"/>
    </sheetView>
  </sheetViews>
  <sheetFormatPr defaultColWidth="9.00390625" defaultRowHeight="12.75"/>
  <cols>
    <col min="1" max="1" width="16.375" style="0" customWidth="1"/>
    <col min="2" max="2" width="12.00390625" style="0" customWidth="1"/>
    <col min="3" max="3" width="15.125" style="0" customWidth="1"/>
    <col min="4" max="4" width="17.00390625" style="0" customWidth="1"/>
    <col min="5" max="5" width="17.125" style="0" customWidth="1"/>
    <col min="6" max="6" width="19.625" style="0" customWidth="1"/>
  </cols>
  <sheetData>
    <row r="1" spans="1:6" ht="12.75">
      <c r="A1" s="20" t="e">
        <f>Кошторис!#REF!</f>
        <v>#REF!</v>
      </c>
      <c r="B1" s="21" t="e">
        <f>LEFT("000000000000",12-LEN(FIXED(TRUNC(A1),0,TRUE)))&amp;FIXED(TRUNC(A1),0,TRUE)</f>
        <v>#REF!</v>
      </c>
      <c r="C1" s="22"/>
      <c r="D1" s="23" t="s">
        <v>55</v>
      </c>
      <c r="E1" s="24" t="s">
        <v>56</v>
      </c>
      <c r="F1" s="25"/>
    </row>
    <row r="2" spans="1:6" ht="12.75">
      <c r="A2" s="26" t="e">
        <f>VALUE(MID($B$1,1,1))</f>
        <v>#REF!</v>
      </c>
      <c r="B2" s="27" t="s">
        <v>57</v>
      </c>
      <c r="C2" s="25"/>
      <c r="D2" s="28" t="e">
        <f>IF(A2&gt;0,INDEX(E25:F34,A2+1,1)," ")</f>
        <v>#REF!</v>
      </c>
      <c r="E2" s="27" t="e">
        <f>LEN(TRIM(D2))</f>
        <v>#REF!</v>
      </c>
      <c r="F2" s="25"/>
    </row>
    <row r="3" spans="1:6" ht="12.75">
      <c r="A3" s="26" t="e">
        <f>VALUE(MID($B$1,2,1))</f>
        <v>#REF!</v>
      </c>
      <c r="B3" s="27" t="s">
        <v>58</v>
      </c>
      <c r="C3" s="25"/>
      <c r="D3" s="28" t="e">
        <f>IF(A3&gt;1,INDEX(D25:E34,A3+1,1)," ")</f>
        <v>#REF!</v>
      </c>
      <c r="E3" s="27" t="e">
        <f>LEN(TRIM(D2&amp;D3))</f>
        <v>#REF!</v>
      </c>
      <c r="F3" s="25"/>
    </row>
    <row r="4" spans="1:6" ht="12.75">
      <c r="A4" s="26" t="e">
        <f>VALUE(MID($B$1,3,1))</f>
        <v>#REF!</v>
      </c>
      <c r="B4" s="27" t="s">
        <v>59</v>
      </c>
      <c r="C4" s="25"/>
      <c r="D4" s="28" t="e">
        <f>IF(AND(A3&lt;2,(A3+A4)&gt;0),INDEX(F25:G44,A4+A3*10+1,1),INDEX(F25:G44,A4+1,1))</f>
        <v>#REF!</v>
      </c>
      <c r="E4" s="27" t="e">
        <f>LEN(TRIM(D2&amp;D3&amp;D4))</f>
        <v>#REF!</v>
      </c>
      <c r="F4" s="25"/>
    </row>
    <row r="5" spans="1:6" ht="12.75">
      <c r="A5" s="26"/>
      <c r="B5" s="29"/>
      <c r="C5" s="25"/>
      <c r="D5" s="28" t="e">
        <f>IF(SUM(A2:A4)&gt;0,IF(D4="один "," мільярд ",IF(OR(OR(D4="два ",D4="три "),D4="чотири ")," мільярда "," мільярдів "))," ")</f>
        <v>#REF!</v>
      </c>
      <c r="E5" s="27" t="e">
        <f>LEN(TRIM(D2&amp;D3&amp;D4&amp;D5))</f>
        <v>#REF!</v>
      </c>
      <c r="F5" s="25"/>
    </row>
    <row r="6" spans="1:6" ht="12.75">
      <c r="A6" s="26" t="e">
        <f>VALUE(MID($B$1,4,1))</f>
        <v>#REF!</v>
      </c>
      <c r="B6" s="27" t="s">
        <v>60</v>
      </c>
      <c r="C6" s="25"/>
      <c r="D6" s="28" t="e">
        <f>IF(A6&gt;0,INDEX(E25:F34,A6+1,1)," ")</f>
        <v>#REF!</v>
      </c>
      <c r="E6" s="27" t="e">
        <f>LEN(TRIM(D2&amp;D3&amp;D4&amp;D5&amp;D6))</f>
        <v>#REF!</v>
      </c>
      <c r="F6" s="25"/>
    </row>
    <row r="7" spans="1:6" ht="12.75">
      <c r="A7" s="26" t="e">
        <f>VALUE(MID($B$1,5,1))</f>
        <v>#REF!</v>
      </c>
      <c r="B7" s="27" t="s">
        <v>61</v>
      </c>
      <c r="C7" s="25"/>
      <c r="D7" s="28" t="e">
        <f>IF(A7&gt;1,INDEX(D25:E34,A7+1,1)," ")</f>
        <v>#REF!</v>
      </c>
      <c r="E7" s="27" t="e">
        <f>LEN(TRIM(D2&amp;D3&amp;D4&amp;D5&amp;D6&amp;D7))</f>
        <v>#REF!</v>
      </c>
      <c r="F7" s="25"/>
    </row>
    <row r="8" spans="1:6" ht="12.75">
      <c r="A8" s="26" t="e">
        <f>VALUE(MID($B$1,6,1))</f>
        <v>#REF!</v>
      </c>
      <c r="B8" s="27" t="s">
        <v>62</v>
      </c>
      <c r="C8" s="25"/>
      <c r="D8" s="28" t="e">
        <f>IF(AND(A7&lt;2,(A7+A8)&gt;0),INDEX(F25:G44,A8+A7*10+1,1),INDEX(F25:G44,A8+1,1))</f>
        <v>#REF!</v>
      </c>
      <c r="E8" s="27" t="e">
        <f>LEN(TRIM(D2&amp;D3&amp;D4&amp;D5&amp;D6&amp;D7&amp;D8))</f>
        <v>#REF!</v>
      </c>
      <c r="F8" s="25"/>
    </row>
    <row r="9" spans="1:6" ht="12.75">
      <c r="A9" s="26"/>
      <c r="B9" s="29"/>
      <c r="C9" s="25"/>
      <c r="D9" s="28" t="e">
        <f>IF(SUM(A6:A8)&gt;0,IF(D8="один "," мільйон ",IF(OR(OR(D8="два ",D8="три "),D8="чотири ")," мільйона "," мільйонів "))," ")</f>
        <v>#REF!</v>
      </c>
      <c r="E9" s="27" t="e">
        <f>LEN(TRIM(D2&amp;D3&amp;D4&amp;D5&amp;D6&amp;D7&amp;D8&amp;D9))</f>
        <v>#REF!</v>
      </c>
      <c r="F9" s="25"/>
    </row>
    <row r="10" spans="1:6" ht="12.75">
      <c r="A10" s="26" t="e">
        <f>VALUE(MID($B$1,7,1))</f>
        <v>#REF!</v>
      </c>
      <c r="B10" s="27" t="s">
        <v>63</v>
      </c>
      <c r="C10" s="25"/>
      <c r="D10" s="28" t="e">
        <f>IF(A10&gt;0,INDEX(E25:F34,A10+1,1)," ")</f>
        <v>#REF!</v>
      </c>
      <c r="E10" s="27" t="e">
        <f>LEN(TRIM(D2&amp;D3&amp;D4&amp;D5&amp;D6&amp;D7&amp;D8&amp;D9&amp;D10))</f>
        <v>#REF!</v>
      </c>
      <c r="F10" s="25"/>
    </row>
    <row r="11" spans="1:6" ht="12.75">
      <c r="A11" s="26" t="e">
        <f>VALUE(MID($B$1,8,1))</f>
        <v>#REF!</v>
      </c>
      <c r="B11" s="27" t="s">
        <v>64</v>
      </c>
      <c r="C11" s="25"/>
      <c r="D11" s="28" t="e">
        <f>IF(A11&gt;1,INDEX(D25:E34,A11+1,1)," ")</f>
        <v>#REF!</v>
      </c>
      <c r="E11" s="27" t="e">
        <f>LEN(TRIM(D2&amp;D3&amp;D4&amp;D5&amp;D6&amp;D7&amp;D8&amp;D9&amp;D10&amp;D11))</f>
        <v>#REF!</v>
      </c>
      <c r="F11" s="25"/>
    </row>
    <row r="12" spans="1:6" ht="12.75">
      <c r="A12" s="26" t="e">
        <f>VALUE(MID($B$1,9,1))</f>
        <v>#REF!</v>
      </c>
      <c r="B12" s="27" t="s">
        <v>65</v>
      </c>
      <c r="C12" s="25"/>
      <c r="D12" s="28" t="e">
        <f>IF(AND(A11&lt;2,(A11+A12)&gt;0),INDEX(C25:C44,A12+A11*10+1,1),INDEX(C25:C44,A12+1,1))</f>
        <v>#REF!</v>
      </c>
      <c r="E12" s="27" t="e">
        <f>LEN(TRIM(D2&amp;D3&amp;D4&amp;D5&amp;D6&amp;D7&amp;D8&amp;D9&amp;D10&amp;D11&amp;D12))</f>
        <v>#REF!</v>
      </c>
      <c r="F12" s="25"/>
    </row>
    <row r="13" spans="1:6" ht="12.75">
      <c r="A13" s="26"/>
      <c r="B13" s="29"/>
      <c r="C13" s="25"/>
      <c r="D13" s="28" t="e">
        <f>IF(SUM(A10:A12)&gt;0,IF(D12="одна "," тисяча ",IF(OR(OR(D12="дві ",D12="три "),D12="чотири ")," тисячі "," тисяч "))," ")</f>
        <v>#REF!</v>
      </c>
      <c r="E13" s="27" t="e">
        <f>LEN(TRIM(D2&amp;D3&amp;D4&amp;D5&amp;D6&amp;D7&amp;D8&amp;D9&amp;D10&amp;D11&amp;D12&amp;D13))</f>
        <v>#REF!</v>
      </c>
      <c r="F13" s="25"/>
    </row>
    <row r="14" spans="1:6" ht="12.75">
      <c r="A14" s="26" t="e">
        <f>VALUE(MID($B$1,10,1))</f>
        <v>#REF!</v>
      </c>
      <c r="B14" s="27" t="s">
        <v>66</v>
      </c>
      <c r="C14" s="25"/>
      <c r="D14" s="28" t="e">
        <f>IF(A14&gt;0,INDEX(E25:F34,A14+1,1)," ")</f>
        <v>#REF!</v>
      </c>
      <c r="E14" s="27" t="e">
        <f>LEN(TRIM(D2&amp;D3&amp;D4&amp;D5&amp;D6&amp;D7&amp;D8&amp;D9&amp;D10&amp;D11&amp;D12&amp;D13&amp;D14))</f>
        <v>#REF!</v>
      </c>
      <c r="F14" s="25"/>
    </row>
    <row r="15" spans="1:6" ht="12.75">
      <c r="A15" s="26" t="e">
        <f>VALUE(MID($B$1,11,1))</f>
        <v>#REF!</v>
      </c>
      <c r="B15" s="27" t="s">
        <v>67</v>
      </c>
      <c r="C15" s="25"/>
      <c r="D15" s="28" t="e">
        <f>IF(A15&gt;1,INDEX(D25:E34,A15+1,1)," ")</f>
        <v>#REF!</v>
      </c>
      <c r="E15" s="27" t="e">
        <f>LEN(TRIM(D2&amp;D3&amp;D4&amp;D5&amp;D6&amp;D7&amp;D8&amp;D9&amp;D10&amp;D11&amp;D12&amp;D13&amp;D14&amp;D15))</f>
        <v>#REF!</v>
      </c>
      <c r="F15" s="25"/>
    </row>
    <row r="16" spans="1:6" ht="12.75">
      <c r="A16" s="26" t="e">
        <f>VALUE(MID($B$1,12,1))</f>
        <v>#REF!</v>
      </c>
      <c r="B16" s="27" t="s">
        <v>68</v>
      </c>
      <c r="C16" s="25"/>
      <c r="D16" s="28" t="e">
        <f>IF(AND(A15&lt;2,(A15+A16)&gt;0),INDEX(C25:C44,A16+A15*10+1,1),INDEX(C25:C44,A16+1,1))</f>
        <v>#REF!</v>
      </c>
      <c r="E16" s="27" t="e">
        <f>LEN(TRIM(D2&amp;D3&amp;D4&amp;D5&amp;D6&amp;D7&amp;D8&amp;D9&amp;D10&amp;D11&amp;D12&amp;D13&amp;D14&amp;D15&amp;D16))</f>
        <v>#REF!</v>
      </c>
      <c r="F16" s="25"/>
    </row>
    <row r="17" spans="1:6" ht="12.75">
      <c r="A17" s="25"/>
      <c r="B17" s="30" t="e">
        <f>" "&amp;IF(B32="YES",IF((A15*10+A16)&gt;0,INDEX(B48:B146,A15*10+A16,1)," гривень")," грн.")&amp;IF(B33="YES",LEFT(D17,4)&amp;INDEX(C47:C146,(A1-INT(A1))*100+1,1)," грн."&amp;D17)</f>
        <v>#REF!</v>
      </c>
      <c r="C17" s="25"/>
      <c r="D17" s="28" t="e">
        <f>" "&amp;RIGHT("00"&amp;FIXED((A1-INT(A1))*100,0),2)&amp;" коп."</f>
        <v>#REF!</v>
      </c>
      <c r="E17" s="27" t="e">
        <f>LEN(TRIM(D2&amp;D3&amp;D4&amp;D5&amp;D6&amp;D7&amp;D8&amp;D9&amp;D10&amp;D11&amp;D12&amp;D13&amp;D14&amp;D15&amp;D16&amp;B17))</f>
        <v>#REF!</v>
      </c>
      <c r="F17" s="25"/>
    </row>
    <row r="18" spans="1:6" ht="12.75">
      <c r="A18" s="31" t="s">
        <v>69</v>
      </c>
      <c r="B18" s="32" t="e">
        <f>TRIM(+D2&amp;D3&amp;D4&amp;D5&amp;D6&amp;D7&amp;D8&amp;D9&amp;D10&amp;D11&amp;D12&amp;D13&amp;D14&amp;D15&amp;D16)</f>
        <v>#REF!</v>
      </c>
      <c r="C18" s="33"/>
      <c r="D18" s="33"/>
      <c r="E18" s="33"/>
      <c r="F18" s="25"/>
    </row>
    <row r="19" spans="1:6" ht="12.75">
      <c r="A19" s="34" t="s">
        <v>70</v>
      </c>
      <c r="B19" s="35" t="e">
        <f>TRIM(+D2&amp;D3&amp;D4&amp;D5&amp;D6&amp;D7&amp;D8&amp;D9&amp;D10&amp;D11&amp;D12&amp;D13&amp;D14&amp;D15&amp;D16)&amp;B17</f>
        <v>#REF!</v>
      </c>
      <c r="C19" s="25"/>
      <c r="D19" s="25"/>
      <c r="E19" s="25"/>
      <c r="F19" s="25"/>
    </row>
    <row r="20" spans="1:6" ht="12.75">
      <c r="A20" s="34" t="s">
        <v>69</v>
      </c>
      <c r="B20" s="36" t="e">
        <f>REPLACE(B19,1,1,IF(LEFT(B19,1)="ч","Ч",PROPER(LEFT(B19,1))))</f>
        <v>#REF!</v>
      </c>
      <c r="C20" s="37"/>
      <c r="D20" s="37"/>
      <c r="E20" s="37"/>
      <c r="F20" s="25"/>
    </row>
    <row r="21" spans="1:6" ht="12.75">
      <c r="A21" s="38" t="e">
        <f>LEFT(B20,VLOOKUP(+B34,E2:E17,1))</f>
        <v>#REF!</v>
      </c>
      <c r="B21" s="38"/>
      <c r="C21" s="38"/>
      <c r="D21" s="38"/>
      <c r="E21" s="38"/>
      <c r="F21" s="25"/>
    </row>
    <row r="22" spans="1:6" ht="12.75">
      <c r="A22" s="38" t="e">
        <f>TRIM(RIGHT(B20,LEN(B20)-LEN(A21)))</f>
        <v>#REF!</v>
      </c>
      <c r="B22" s="38"/>
      <c r="C22" s="38"/>
      <c r="D22" s="38"/>
      <c r="E22" s="38"/>
      <c r="F22" s="25"/>
    </row>
    <row r="23" spans="1:6" ht="12.75">
      <c r="A23" s="37"/>
      <c r="B23" s="37"/>
      <c r="C23" s="37"/>
      <c r="D23" s="37"/>
      <c r="E23" s="37"/>
      <c r="F23" s="25"/>
    </row>
    <row r="24" spans="1:6" ht="12.75">
      <c r="A24" s="39" t="s">
        <v>71</v>
      </c>
      <c r="B24" s="40"/>
      <c r="C24" s="41" t="s">
        <v>72</v>
      </c>
      <c r="D24" s="41" t="s">
        <v>73</v>
      </c>
      <c r="E24" s="41" t="s">
        <v>74</v>
      </c>
      <c r="F24" s="41" t="s">
        <v>75</v>
      </c>
    </row>
    <row r="25" spans="1:6" ht="12.75">
      <c r="A25" s="42" t="s">
        <v>76</v>
      </c>
      <c r="B25" s="43"/>
      <c r="C25" s="44" t="s">
        <v>77</v>
      </c>
      <c r="D25" s="44" t="s">
        <v>77</v>
      </c>
      <c r="E25" s="45" t="s">
        <v>77</v>
      </c>
      <c r="F25" s="44" t="s">
        <v>77</v>
      </c>
    </row>
    <row r="26" spans="1:6" ht="12.75">
      <c r="A26" s="46" t="s">
        <v>78</v>
      </c>
      <c r="B26" s="25"/>
      <c r="C26" s="47" t="s">
        <v>79</v>
      </c>
      <c r="D26" s="47" t="s">
        <v>80</v>
      </c>
      <c r="E26" s="27" t="s">
        <v>81</v>
      </c>
      <c r="F26" s="47" t="s">
        <v>82</v>
      </c>
    </row>
    <row r="27" spans="1:6" ht="12.75">
      <c r="A27" s="48" t="s">
        <v>83</v>
      </c>
      <c r="B27" s="49"/>
      <c r="C27" s="47" t="s">
        <v>84</v>
      </c>
      <c r="D27" s="47" t="s">
        <v>85</v>
      </c>
      <c r="E27" s="27" t="s">
        <v>86</v>
      </c>
      <c r="F27" s="47" t="s">
        <v>87</v>
      </c>
    </row>
    <row r="28" spans="1:6" ht="12.75">
      <c r="A28" s="49"/>
      <c r="B28" s="49"/>
      <c r="C28" s="47" t="s">
        <v>88</v>
      </c>
      <c r="D28" s="47" t="s">
        <v>89</v>
      </c>
      <c r="E28" s="27" t="s">
        <v>90</v>
      </c>
      <c r="F28" s="47" t="s">
        <v>88</v>
      </c>
    </row>
    <row r="29" spans="1:6" ht="12.75">
      <c r="A29" s="49"/>
      <c r="B29" s="50"/>
      <c r="C29" s="47" t="s">
        <v>91</v>
      </c>
      <c r="D29" s="47" t="s">
        <v>92</v>
      </c>
      <c r="E29" s="27" t="s">
        <v>93</v>
      </c>
      <c r="F29" s="47" t="s">
        <v>91</v>
      </c>
    </row>
    <row r="30" spans="1:6" ht="12.75">
      <c r="A30" s="49"/>
      <c r="B30" s="49"/>
      <c r="C30" s="47" t="s">
        <v>94</v>
      </c>
      <c r="D30" s="47" t="s">
        <v>95</v>
      </c>
      <c r="E30" s="27" t="s">
        <v>96</v>
      </c>
      <c r="F30" s="47" t="s">
        <v>94</v>
      </c>
    </row>
    <row r="31" spans="1:6" ht="12.75" customHeight="1">
      <c r="A31" s="134" t="s">
        <v>97</v>
      </c>
      <c r="B31" s="134"/>
      <c r="C31" s="47" t="s">
        <v>98</v>
      </c>
      <c r="D31" s="47" t="s">
        <v>99</v>
      </c>
      <c r="E31" s="27" t="s">
        <v>100</v>
      </c>
      <c r="F31" s="47" t="s">
        <v>98</v>
      </c>
    </row>
    <row r="32" spans="1:6" ht="12.75">
      <c r="A32" s="51" t="s">
        <v>101</v>
      </c>
      <c r="B32" s="52" t="s">
        <v>102</v>
      </c>
      <c r="C32" s="47" t="s">
        <v>103</v>
      </c>
      <c r="D32" s="47" t="s">
        <v>104</v>
      </c>
      <c r="E32" s="27" t="s">
        <v>105</v>
      </c>
      <c r="F32" s="47" t="s">
        <v>103</v>
      </c>
    </row>
    <row r="33" spans="1:6" ht="12.75">
      <c r="A33" s="51" t="s">
        <v>106</v>
      </c>
      <c r="B33" s="52" t="s">
        <v>102</v>
      </c>
      <c r="C33" s="47" t="s">
        <v>107</v>
      </c>
      <c r="D33" s="47" t="s">
        <v>108</v>
      </c>
      <c r="E33" s="27" t="s">
        <v>109</v>
      </c>
      <c r="F33" s="47" t="s">
        <v>107</v>
      </c>
    </row>
    <row r="34" spans="1:6" ht="12.75">
      <c r="A34" s="53" t="s">
        <v>110</v>
      </c>
      <c r="B34" s="54">
        <v>95</v>
      </c>
      <c r="C34" s="47" t="s">
        <v>111</v>
      </c>
      <c r="D34" s="55" t="s">
        <v>112</v>
      </c>
      <c r="E34" s="56" t="s">
        <v>113</v>
      </c>
      <c r="F34" s="47" t="s">
        <v>111</v>
      </c>
    </row>
    <row r="35" spans="1:6" ht="12.75">
      <c r="A35" s="25"/>
      <c r="B35" s="25"/>
      <c r="C35" s="47" t="s">
        <v>80</v>
      </c>
      <c r="D35" s="35"/>
      <c r="E35" s="35"/>
      <c r="F35" s="47" t="s">
        <v>80</v>
      </c>
    </row>
    <row r="36" spans="1:6" ht="12.75">
      <c r="A36" s="25"/>
      <c r="B36" s="25"/>
      <c r="C36" s="47" t="s">
        <v>114</v>
      </c>
      <c r="D36" s="35"/>
      <c r="E36" s="35"/>
      <c r="F36" s="47" t="s">
        <v>114</v>
      </c>
    </row>
    <row r="37" spans="1:6" ht="12.75">
      <c r="A37" s="25"/>
      <c r="B37" s="25"/>
      <c r="C37" s="47" t="s">
        <v>115</v>
      </c>
      <c r="D37" s="35"/>
      <c r="E37" s="35"/>
      <c r="F37" s="47" t="s">
        <v>115</v>
      </c>
    </row>
    <row r="38" spans="1:6" ht="12.75">
      <c r="A38" s="25"/>
      <c r="B38" s="25"/>
      <c r="C38" s="47" t="s">
        <v>116</v>
      </c>
      <c r="D38" s="35"/>
      <c r="E38" s="35"/>
      <c r="F38" s="47" t="s">
        <v>116</v>
      </c>
    </row>
    <row r="39" spans="1:6" ht="12.75">
      <c r="A39" s="25"/>
      <c r="B39" s="25"/>
      <c r="C39" s="47" t="s">
        <v>117</v>
      </c>
      <c r="D39" s="35"/>
      <c r="E39" s="35"/>
      <c r="F39" s="47" t="s">
        <v>117</v>
      </c>
    </row>
    <row r="40" spans="1:6" ht="12.75">
      <c r="A40" s="25"/>
      <c r="B40" s="25"/>
      <c r="C40" s="47" t="s">
        <v>118</v>
      </c>
      <c r="D40" s="35"/>
      <c r="E40" s="35"/>
      <c r="F40" s="47" t="s">
        <v>118</v>
      </c>
    </row>
    <row r="41" spans="1:6" ht="12.75">
      <c r="A41" s="25"/>
      <c r="B41" s="25"/>
      <c r="C41" s="47" t="s">
        <v>119</v>
      </c>
      <c r="D41" s="35"/>
      <c r="E41" s="35"/>
      <c r="F41" s="47" t="s">
        <v>119</v>
      </c>
    </row>
    <row r="42" spans="1:6" ht="12.75">
      <c r="A42" s="25"/>
      <c r="B42" s="25"/>
      <c r="C42" s="47" t="s">
        <v>120</v>
      </c>
      <c r="D42" s="35"/>
      <c r="E42" s="35"/>
      <c r="F42" s="47" t="s">
        <v>120</v>
      </c>
    </row>
    <row r="43" spans="1:6" ht="12.75">
      <c r="A43" s="25"/>
      <c r="B43" s="25"/>
      <c r="C43" s="47" t="s">
        <v>121</v>
      </c>
      <c r="D43" s="35"/>
      <c r="E43" s="35"/>
      <c r="F43" s="47" t="s">
        <v>121</v>
      </c>
    </row>
    <row r="44" spans="1:6" ht="12.75">
      <c r="A44" s="25"/>
      <c r="B44" s="25"/>
      <c r="C44" s="55" t="s">
        <v>122</v>
      </c>
      <c r="D44" s="35"/>
      <c r="E44" s="35"/>
      <c r="F44" s="55" t="s">
        <v>122</v>
      </c>
    </row>
    <row r="45" spans="1:6" ht="12.75">
      <c r="A45" s="25"/>
      <c r="B45" s="25"/>
      <c r="C45" s="57"/>
      <c r="D45" s="35"/>
      <c r="E45" s="35"/>
      <c r="F45" s="57"/>
    </row>
    <row r="46" spans="1:6" ht="12.75">
      <c r="A46" s="25"/>
      <c r="B46" s="41" t="s">
        <v>123</v>
      </c>
      <c r="C46" s="41" t="s">
        <v>124</v>
      </c>
      <c r="D46" s="25"/>
      <c r="E46" s="25"/>
      <c r="F46" s="43"/>
    </row>
    <row r="47" spans="1:6" ht="12.75">
      <c r="A47" s="35">
        <v>0</v>
      </c>
      <c r="B47" s="58"/>
      <c r="C47" s="59" t="s">
        <v>125</v>
      </c>
      <c r="D47" s="25"/>
      <c r="E47" s="25"/>
      <c r="F47" s="43"/>
    </row>
    <row r="48" spans="1:3" ht="12.75">
      <c r="A48" s="60">
        <v>1</v>
      </c>
      <c r="B48" s="61" t="s">
        <v>126</v>
      </c>
      <c r="C48" s="61" t="s">
        <v>127</v>
      </c>
    </row>
    <row r="49" spans="1:3" ht="12.75">
      <c r="A49" s="60">
        <v>2</v>
      </c>
      <c r="B49" s="61" t="s">
        <v>128</v>
      </c>
      <c r="C49" s="61" t="s">
        <v>129</v>
      </c>
    </row>
    <row r="50" spans="1:3" ht="12.75">
      <c r="A50" s="60">
        <v>3</v>
      </c>
      <c r="B50" s="61" t="s">
        <v>128</v>
      </c>
      <c r="C50" s="61" t="s">
        <v>129</v>
      </c>
    </row>
    <row r="51" spans="1:3" ht="12.75">
      <c r="A51" s="60">
        <v>4</v>
      </c>
      <c r="B51" s="61" t="s">
        <v>128</v>
      </c>
      <c r="C51" s="61" t="s">
        <v>129</v>
      </c>
    </row>
    <row r="52" spans="1:3" ht="12.75">
      <c r="A52" s="60">
        <v>5</v>
      </c>
      <c r="B52" s="61" t="s">
        <v>130</v>
      </c>
      <c r="C52" s="61" t="s">
        <v>125</v>
      </c>
    </row>
    <row r="53" spans="1:3" ht="12.75">
      <c r="A53" s="60">
        <v>6</v>
      </c>
      <c r="B53" s="61" t="s">
        <v>130</v>
      </c>
      <c r="C53" s="61" t="s">
        <v>125</v>
      </c>
    </row>
    <row r="54" spans="1:3" ht="12.75">
      <c r="A54" s="60">
        <v>7</v>
      </c>
      <c r="B54" s="61" t="s">
        <v>130</v>
      </c>
      <c r="C54" s="61" t="s">
        <v>125</v>
      </c>
    </row>
    <row r="55" spans="1:3" ht="12.75">
      <c r="A55" s="60">
        <v>8</v>
      </c>
      <c r="B55" s="61" t="s">
        <v>130</v>
      </c>
      <c r="C55" s="61" t="s">
        <v>125</v>
      </c>
    </row>
    <row r="56" spans="1:3" ht="12.75">
      <c r="A56" s="60">
        <v>9</v>
      </c>
      <c r="B56" s="61" t="s">
        <v>130</v>
      </c>
      <c r="C56" s="61" t="s">
        <v>125</v>
      </c>
    </row>
    <row r="57" spans="1:3" ht="12.75">
      <c r="A57" s="60">
        <v>10</v>
      </c>
      <c r="B57" s="61" t="s">
        <v>130</v>
      </c>
      <c r="C57" s="61" t="s">
        <v>125</v>
      </c>
    </row>
    <row r="58" spans="1:3" ht="12.75">
      <c r="A58" s="60">
        <v>11</v>
      </c>
      <c r="B58" s="61" t="s">
        <v>130</v>
      </c>
      <c r="C58" s="61" t="s">
        <v>125</v>
      </c>
    </row>
    <row r="59" spans="1:3" ht="12.75">
      <c r="A59" s="60">
        <v>12</v>
      </c>
      <c r="B59" s="61" t="s">
        <v>130</v>
      </c>
      <c r="C59" s="61" t="s">
        <v>125</v>
      </c>
    </row>
    <row r="60" spans="1:3" ht="12.75">
      <c r="A60" s="60">
        <v>13</v>
      </c>
      <c r="B60" s="61" t="s">
        <v>130</v>
      </c>
      <c r="C60" s="61" t="s">
        <v>125</v>
      </c>
    </row>
    <row r="61" spans="1:3" ht="12.75">
      <c r="A61" s="60">
        <v>14</v>
      </c>
      <c r="B61" s="61" t="s">
        <v>130</v>
      </c>
      <c r="C61" s="61" t="s">
        <v>125</v>
      </c>
    </row>
    <row r="62" spans="1:3" ht="12.75">
      <c r="A62" s="60">
        <v>15</v>
      </c>
      <c r="B62" s="61" t="s">
        <v>130</v>
      </c>
      <c r="C62" s="61" t="s">
        <v>125</v>
      </c>
    </row>
    <row r="63" spans="1:3" ht="12.75">
      <c r="A63" s="60">
        <v>16</v>
      </c>
      <c r="B63" s="61" t="s">
        <v>130</v>
      </c>
      <c r="C63" s="61" t="s">
        <v>125</v>
      </c>
    </row>
    <row r="64" spans="1:3" ht="12.75">
      <c r="A64" s="60">
        <v>17</v>
      </c>
      <c r="B64" s="61" t="s">
        <v>130</v>
      </c>
      <c r="C64" s="61" t="s">
        <v>125</v>
      </c>
    </row>
    <row r="65" spans="1:3" ht="12.75">
      <c r="A65" s="60">
        <v>18</v>
      </c>
      <c r="B65" s="61" t="s">
        <v>130</v>
      </c>
      <c r="C65" s="61" t="s">
        <v>125</v>
      </c>
    </row>
    <row r="66" spans="1:3" ht="12.75">
      <c r="A66" s="60">
        <v>19</v>
      </c>
      <c r="B66" s="61" t="s">
        <v>130</v>
      </c>
      <c r="C66" s="61" t="s">
        <v>125</v>
      </c>
    </row>
    <row r="67" spans="1:3" ht="12.75">
      <c r="A67" s="60">
        <v>20</v>
      </c>
      <c r="B67" s="61" t="s">
        <v>130</v>
      </c>
      <c r="C67" s="61" t="s">
        <v>125</v>
      </c>
    </row>
    <row r="68" spans="1:3" ht="12.75">
      <c r="A68" s="60">
        <v>21</v>
      </c>
      <c r="B68" s="61" t="s">
        <v>126</v>
      </c>
      <c r="C68" s="61" t="s">
        <v>127</v>
      </c>
    </row>
    <row r="69" spans="1:3" ht="12.75">
      <c r="A69" s="60">
        <v>22</v>
      </c>
      <c r="B69" s="61" t="s">
        <v>128</v>
      </c>
      <c r="C69" s="61" t="s">
        <v>129</v>
      </c>
    </row>
    <row r="70" spans="1:3" ht="12.75">
      <c r="A70" s="60">
        <v>23</v>
      </c>
      <c r="B70" s="61" t="s">
        <v>128</v>
      </c>
      <c r="C70" s="61" t="s">
        <v>129</v>
      </c>
    </row>
    <row r="71" spans="1:3" ht="12.75">
      <c r="A71" s="60">
        <v>24</v>
      </c>
      <c r="B71" s="61" t="s">
        <v>128</v>
      </c>
      <c r="C71" s="61" t="s">
        <v>129</v>
      </c>
    </row>
    <row r="72" spans="1:3" ht="12.75">
      <c r="A72" s="60">
        <v>25</v>
      </c>
      <c r="B72" s="61" t="s">
        <v>130</v>
      </c>
      <c r="C72" s="61" t="s">
        <v>125</v>
      </c>
    </row>
    <row r="73" spans="1:3" ht="12.75">
      <c r="A73" s="60">
        <v>26</v>
      </c>
      <c r="B73" s="61" t="s">
        <v>130</v>
      </c>
      <c r="C73" s="61" t="s">
        <v>125</v>
      </c>
    </row>
    <row r="74" spans="1:3" ht="12.75">
      <c r="A74" s="60">
        <v>27</v>
      </c>
      <c r="B74" s="61" t="s">
        <v>130</v>
      </c>
      <c r="C74" s="61" t="s">
        <v>125</v>
      </c>
    </row>
    <row r="75" spans="1:3" ht="12.75">
      <c r="A75" s="60">
        <v>28</v>
      </c>
      <c r="B75" s="61" t="s">
        <v>130</v>
      </c>
      <c r="C75" s="61" t="s">
        <v>125</v>
      </c>
    </row>
    <row r="76" spans="1:3" ht="12.75">
      <c r="A76" s="60">
        <v>29</v>
      </c>
      <c r="B76" s="61" t="s">
        <v>130</v>
      </c>
      <c r="C76" s="61" t="s">
        <v>125</v>
      </c>
    </row>
    <row r="77" spans="1:3" ht="12.75">
      <c r="A77" s="60">
        <v>30</v>
      </c>
      <c r="B77" s="61" t="s">
        <v>130</v>
      </c>
      <c r="C77" s="61" t="s">
        <v>125</v>
      </c>
    </row>
    <row r="78" spans="1:3" ht="12.75">
      <c r="A78" s="60">
        <v>31</v>
      </c>
      <c r="B78" s="61" t="s">
        <v>126</v>
      </c>
      <c r="C78" s="61" t="s">
        <v>127</v>
      </c>
    </row>
    <row r="79" spans="1:3" ht="12.75">
      <c r="A79" s="60">
        <v>32</v>
      </c>
      <c r="B79" s="61" t="s">
        <v>128</v>
      </c>
      <c r="C79" s="61" t="s">
        <v>129</v>
      </c>
    </row>
    <row r="80" spans="1:3" ht="12.75">
      <c r="A80" s="60">
        <v>33</v>
      </c>
      <c r="B80" s="61" t="s">
        <v>128</v>
      </c>
      <c r="C80" s="61" t="s">
        <v>129</v>
      </c>
    </row>
    <row r="81" spans="1:3" ht="12.75">
      <c r="A81" s="60">
        <v>34</v>
      </c>
      <c r="B81" s="61" t="s">
        <v>128</v>
      </c>
      <c r="C81" s="61" t="s">
        <v>129</v>
      </c>
    </row>
    <row r="82" spans="1:3" ht="12.75">
      <c r="A82" s="60">
        <v>35</v>
      </c>
      <c r="B82" s="61" t="s">
        <v>130</v>
      </c>
      <c r="C82" s="61" t="s">
        <v>125</v>
      </c>
    </row>
    <row r="83" spans="1:3" ht="12.75">
      <c r="A83" s="60">
        <v>36</v>
      </c>
      <c r="B83" s="61" t="s">
        <v>130</v>
      </c>
      <c r="C83" s="61" t="s">
        <v>125</v>
      </c>
    </row>
    <row r="84" spans="1:3" ht="12.75">
      <c r="A84" s="60">
        <v>37</v>
      </c>
      <c r="B84" s="61" t="s">
        <v>130</v>
      </c>
      <c r="C84" s="61" t="s">
        <v>125</v>
      </c>
    </row>
    <row r="85" spans="1:3" ht="12.75">
      <c r="A85" s="60">
        <v>38</v>
      </c>
      <c r="B85" s="61" t="s">
        <v>130</v>
      </c>
      <c r="C85" s="61" t="s">
        <v>125</v>
      </c>
    </row>
    <row r="86" spans="1:3" ht="12.75">
      <c r="A86" s="60">
        <v>39</v>
      </c>
      <c r="B86" s="61" t="s">
        <v>130</v>
      </c>
      <c r="C86" s="61" t="s">
        <v>125</v>
      </c>
    </row>
    <row r="87" spans="1:3" ht="12.75">
      <c r="A87" s="60">
        <v>40</v>
      </c>
      <c r="B87" s="61" t="s">
        <v>130</v>
      </c>
      <c r="C87" s="61" t="s">
        <v>125</v>
      </c>
    </row>
    <row r="88" spans="1:3" ht="12.75">
      <c r="A88" s="60">
        <v>41</v>
      </c>
      <c r="B88" s="61" t="s">
        <v>126</v>
      </c>
      <c r="C88" s="61" t="s">
        <v>127</v>
      </c>
    </row>
    <row r="89" spans="1:3" ht="12.75">
      <c r="A89" s="60">
        <v>42</v>
      </c>
      <c r="B89" s="61" t="s">
        <v>128</v>
      </c>
      <c r="C89" s="61" t="s">
        <v>129</v>
      </c>
    </row>
    <row r="90" spans="1:3" ht="12.75">
      <c r="A90" s="60">
        <v>43</v>
      </c>
      <c r="B90" s="61" t="s">
        <v>128</v>
      </c>
      <c r="C90" s="61" t="s">
        <v>129</v>
      </c>
    </row>
    <row r="91" spans="1:3" ht="12.75">
      <c r="A91" s="60">
        <v>44</v>
      </c>
      <c r="B91" s="61" t="s">
        <v>128</v>
      </c>
      <c r="C91" s="61" t="s">
        <v>129</v>
      </c>
    </row>
    <row r="92" spans="1:3" ht="12.75">
      <c r="A92" s="60">
        <v>45</v>
      </c>
      <c r="B92" s="61" t="s">
        <v>130</v>
      </c>
      <c r="C92" s="61" t="s">
        <v>125</v>
      </c>
    </row>
    <row r="93" spans="1:3" ht="12.75">
      <c r="A93" s="60">
        <v>46</v>
      </c>
      <c r="B93" s="61" t="s">
        <v>130</v>
      </c>
      <c r="C93" s="61" t="s">
        <v>125</v>
      </c>
    </row>
    <row r="94" spans="1:3" ht="12.75">
      <c r="A94" s="60">
        <v>47</v>
      </c>
      <c r="B94" s="61" t="s">
        <v>130</v>
      </c>
      <c r="C94" s="61" t="s">
        <v>125</v>
      </c>
    </row>
    <row r="95" spans="1:3" ht="12.75">
      <c r="A95" s="60">
        <v>48</v>
      </c>
      <c r="B95" s="61" t="s">
        <v>130</v>
      </c>
      <c r="C95" s="61" t="s">
        <v>125</v>
      </c>
    </row>
    <row r="96" spans="1:3" ht="12.75">
      <c r="A96" s="60">
        <v>49</v>
      </c>
      <c r="B96" s="61" t="s">
        <v>130</v>
      </c>
      <c r="C96" s="61" t="s">
        <v>125</v>
      </c>
    </row>
    <row r="97" spans="1:3" ht="12.75">
      <c r="A97" s="60">
        <v>50</v>
      </c>
      <c r="B97" s="61" t="s">
        <v>130</v>
      </c>
      <c r="C97" s="61" t="s">
        <v>125</v>
      </c>
    </row>
    <row r="98" spans="1:3" ht="12.75">
      <c r="A98" s="60">
        <v>51</v>
      </c>
      <c r="B98" s="61" t="s">
        <v>126</v>
      </c>
      <c r="C98" s="61" t="s">
        <v>127</v>
      </c>
    </row>
    <row r="99" spans="1:3" ht="12.75">
      <c r="A99" s="60">
        <v>52</v>
      </c>
      <c r="B99" s="61" t="s">
        <v>128</v>
      </c>
      <c r="C99" s="61" t="s">
        <v>129</v>
      </c>
    </row>
    <row r="100" spans="1:3" ht="12.75">
      <c r="A100" s="60">
        <v>53</v>
      </c>
      <c r="B100" s="61" t="s">
        <v>128</v>
      </c>
      <c r="C100" s="61" t="s">
        <v>129</v>
      </c>
    </row>
    <row r="101" spans="1:3" ht="12.75">
      <c r="A101" s="60">
        <v>54</v>
      </c>
      <c r="B101" s="61" t="s">
        <v>128</v>
      </c>
      <c r="C101" s="61" t="s">
        <v>129</v>
      </c>
    </row>
    <row r="102" spans="1:3" ht="12.75">
      <c r="A102" s="60">
        <v>55</v>
      </c>
      <c r="B102" s="61" t="s">
        <v>130</v>
      </c>
      <c r="C102" s="61" t="s">
        <v>125</v>
      </c>
    </row>
    <row r="103" spans="1:3" ht="12.75">
      <c r="A103" s="60">
        <v>56</v>
      </c>
      <c r="B103" s="61" t="s">
        <v>130</v>
      </c>
      <c r="C103" s="61" t="s">
        <v>125</v>
      </c>
    </row>
    <row r="104" spans="1:3" ht="12.75">
      <c r="A104" s="60">
        <v>57</v>
      </c>
      <c r="B104" s="61" t="s">
        <v>130</v>
      </c>
      <c r="C104" s="61" t="s">
        <v>125</v>
      </c>
    </row>
    <row r="105" spans="1:3" ht="12.75">
      <c r="A105" s="60">
        <v>58</v>
      </c>
      <c r="B105" s="61" t="s">
        <v>130</v>
      </c>
      <c r="C105" s="61" t="s">
        <v>125</v>
      </c>
    </row>
    <row r="106" spans="1:3" ht="12.75">
      <c r="A106" s="60">
        <v>59</v>
      </c>
      <c r="B106" s="61" t="s">
        <v>130</v>
      </c>
      <c r="C106" s="61" t="s">
        <v>125</v>
      </c>
    </row>
    <row r="107" spans="1:3" ht="12.75">
      <c r="A107" s="60">
        <v>60</v>
      </c>
      <c r="B107" s="61" t="s">
        <v>130</v>
      </c>
      <c r="C107" s="61" t="s">
        <v>125</v>
      </c>
    </row>
    <row r="108" spans="1:3" ht="12.75">
      <c r="A108" s="60">
        <v>61</v>
      </c>
      <c r="B108" s="61" t="s">
        <v>126</v>
      </c>
      <c r="C108" s="61" t="s">
        <v>127</v>
      </c>
    </row>
    <row r="109" spans="1:3" ht="12.75">
      <c r="A109" s="60">
        <v>62</v>
      </c>
      <c r="B109" s="61" t="s">
        <v>128</v>
      </c>
      <c r="C109" s="61" t="s">
        <v>129</v>
      </c>
    </row>
    <row r="110" spans="1:3" ht="12.75">
      <c r="A110" s="60">
        <v>63</v>
      </c>
      <c r="B110" s="61" t="s">
        <v>128</v>
      </c>
      <c r="C110" s="61" t="s">
        <v>129</v>
      </c>
    </row>
    <row r="111" spans="1:3" ht="12.75">
      <c r="A111" s="60">
        <v>64</v>
      </c>
      <c r="B111" s="61" t="s">
        <v>128</v>
      </c>
      <c r="C111" s="61" t="s">
        <v>129</v>
      </c>
    </row>
    <row r="112" spans="1:3" ht="12.75">
      <c r="A112" s="60">
        <v>65</v>
      </c>
      <c r="B112" s="61" t="s">
        <v>130</v>
      </c>
      <c r="C112" s="61" t="s">
        <v>125</v>
      </c>
    </row>
    <row r="113" spans="1:3" ht="12.75">
      <c r="A113" s="60">
        <v>66</v>
      </c>
      <c r="B113" s="61" t="s">
        <v>130</v>
      </c>
      <c r="C113" s="61" t="s">
        <v>125</v>
      </c>
    </row>
    <row r="114" spans="1:3" ht="12.75">
      <c r="A114" s="60">
        <v>67</v>
      </c>
      <c r="B114" s="61" t="s">
        <v>130</v>
      </c>
      <c r="C114" s="61" t="s">
        <v>125</v>
      </c>
    </row>
    <row r="115" spans="1:3" ht="12.75">
      <c r="A115" s="60">
        <v>68</v>
      </c>
      <c r="B115" s="61" t="s">
        <v>130</v>
      </c>
      <c r="C115" s="61" t="s">
        <v>125</v>
      </c>
    </row>
    <row r="116" spans="1:3" ht="12.75">
      <c r="A116" s="60">
        <v>69</v>
      </c>
      <c r="B116" s="61" t="s">
        <v>130</v>
      </c>
      <c r="C116" s="61" t="s">
        <v>125</v>
      </c>
    </row>
    <row r="117" spans="1:3" ht="12.75">
      <c r="A117" s="60">
        <v>70</v>
      </c>
      <c r="B117" s="61" t="s">
        <v>130</v>
      </c>
      <c r="C117" s="61" t="s">
        <v>125</v>
      </c>
    </row>
    <row r="118" spans="1:3" ht="12.75">
      <c r="A118" s="60">
        <v>71</v>
      </c>
      <c r="B118" s="61" t="s">
        <v>126</v>
      </c>
      <c r="C118" s="61" t="s">
        <v>127</v>
      </c>
    </row>
    <row r="119" spans="1:3" ht="12.75">
      <c r="A119" s="60">
        <v>72</v>
      </c>
      <c r="B119" s="61" t="s">
        <v>128</v>
      </c>
      <c r="C119" s="61" t="s">
        <v>129</v>
      </c>
    </row>
    <row r="120" spans="1:3" ht="12.75">
      <c r="A120" s="60">
        <v>73</v>
      </c>
      <c r="B120" s="61" t="s">
        <v>128</v>
      </c>
      <c r="C120" s="61" t="s">
        <v>129</v>
      </c>
    </row>
    <row r="121" spans="1:3" ht="12.75">
      <c r="A121" s="60">
        <v>74</v>
      </c>
      <c r="B121" s="61" t="s">
        <v>128</v>
      </c>
      <c r="C121" s="61" t="s">
        <v>129</v>
      </c>
    </row>
    <row r="122" spans="1:3" ht="12.75">
      <c r="A122" s="60">
        <v>75</v>
      </c>
      <c r="B122" s="61" t="s">
        <v>130</v>
      </c>
      <c r="C122" s="61" t="s">
        <v>125</v>
      </c>
    </row>
    <row r="123" spans="1:3" ht="12.75">
      <c r="A123" s="60">
        <v>76</v>
      </c>
      <c r="B123" s="61" t="s">
        <v>130</v>
      </c>
      <c r="C123" s="61" t="s">
        <v>125</v>
      </c>
    </row>
    <row r="124" spans="1:3" ht="12.75">
      <c r="A124" s="60">
        <v>77</v>
      </c>
      <c r="B124" s="61" t="s">
        <v>130</v>
      </c>
      <c r="C124" s="61" t="s">
        <v>125</v>
      </c>
    </row>
    <row r="125" spans="1:3" ht="12.75">
      <c r="A125" s="60">
        <v>78</v>
      </c>
      <c r="B125" s="61" t="s">
        <v>130</v>
      </c>
      <c r="C125" s="61" t="s">
        <v>125</v>
      </c>
    </row>
    <row r="126" spans="1:3" ht="12.75">
      <c r="A126" s="60">
        <v>79</v>
      </c>
      <c r="B126" s="61" t="s">
        <v>130</v>
      </c>
      <c r="C126" s="61" t="s">
        <v>125</v>
      </c>
    </row>
    <row r="127" spans="1:3" ht="12.75">
      <c r="A127" s="60">
        <v>80</v>
      </c>
      <c r="B127" s="61" t="s">
        <v>130</v>
      </c>
      <c r="C127" s="61" t="s">
        <v>125</v>
      </c>
    </row>
    <row r="128" spans="1:3" ht="12.75">
      <c r="A128" s="60">
        <v>81</v>
      </c>
      <c r="B128" s="61" t="s">
        <v>126</v>
      </c>
      <c r="C128" s="61" t="s">
        <v>127</v>
      </c>
    </row>
    <row r="129" spans="1:3" ht="12.75">
      <c r="A129" s="60">
        <v>82</v>
      </c>
      <c r="B129" s="61" t="s">
        <v>128</v>
      </c>
      <c r="C129" s="61" t="s">
        <v>129</v>
      </c>
    </row>
    <row r="130" spans="1:3" ht="12.75">
      <c r="A130" s="60">
        <v>83</v>
      </c>
      <c r="B130" s="61" t="s">
        <v>128</v>
      </c>
      <c r="C130" s="61" t="s">
        <v>129</v>
      </c>
    </row>
    <row r="131" spans="1:3" ht="12.75">
      <c r="A131" s="60">
        <v>84</v>
      </c>
      <c r="B131" s="61" t="s">
        <v>128</v>
      </c>
      <c r="C131" s="61" t="s">
        <v>129</v>
      </c>
    </row>
    <row r="132" spans="1:3" ht="12.75">
      <c r="A132" s="60">
        <v>85</v>
      </c>
      <c r="B132" s="61" t="s">
        <v>130</v>
      </c>
      <c r="C132" s="61" t="s">
        <v>125</v>
      </c>
    </row>
    <row r="133" spans="1:3" ht="12.75">
      <c r="A133" s="60">
        <v>86</v>
      </c>
      <c r="B133" s="61" t="s">
        <v>130</v>
      </c>
      <c r="C133" s="61" t="s">
        <v>125</v>
      </c>
    </row>
    <row r="134" spans="1:3" ht="12.75">
      <c r="A134" s="60">
        <v>87</v>
      </c>
      <c r="B134" s="61" t="s">
        <v>130</v>
      </c>
      <c r="C134" s="61" t="s">
        <v>125</v>
      </c>
    </row>
    <row r="135" spans="1:3" ht="12.75">
      <c r="A135" s="60">
        <v>88</v>
      </c>
      <c r="B135" s="61" t="s">
        <v>130</v>
      </c>
      <c r="C135" s="61" t="s">
        <v>125</v>
      </c>
    </row>
    <row r="136" spans="1:3" ht="12.75">
      <c r="A136" s="60">
        <v>89</v>
      </c>
      <c r="B136" s="61" t="s">
        <v>130</v>
      </c>
      <c r="C136" s="61" t="s">
        <v>125</v>
      </c>
    </row>
    <row r="137" spans="1:3" ht="12.75">
      <c r="A137" s="60">
        <v>90</v>
      </c>
      <c r="B137" s="61" t="s">
        <v>130</v>
      </c>
      <c r="C137" s="61" t="s">
        <v>125</v>
      </c>
    </row>
    <row r="138" spans="1:3" ht="12.75">
      <c r="A138" s="60">
        <v>91</v>
      </c>
      <c r="B138" s="61" t="s">
        <v>126</v>
      </c>
      <c r="C138" s="61" t="s">
        <v>127</v>
      </c>
    </row>
    <row r="139" spans="1:3" ht="12.75">
      <c r="A139" s="60">
        <v>92</v>
      </c>
      <c r="B139" s="61" t="s">
        <v>128</v>
      </c>
      <c r="C139" s="61" t="s">
        <v>129</v>
      </c>
    </row>
    <row r="140" spans="1:3" ht="12.75">
      <c r="A140" s="60">
        <v>93</v>
      </c>
      <c r="B140" s="61" t="s">
        <v>128</v>
      </c>
      <c r="C140" s="61" t="s">
        <v>129</v>
      </c>
    </row>
    <row r="141" spans="1:3" ht="12.75">
      <c r="A141" s="60">
        <v>94</v>
      </c>
      <c r="B141" s="61" t="s">
        <v>128</v>
      </c>
      <c r="C141" s="61" t="s">
        <v>129</v>
      </c>
    </row>
    <row r="142" spans="1:3" ht="12.75">
      <c r="A142" s="60">
        <v>95</v>
      </c>
      <c r="B142" s="61" t="s">
        <v>130</v>
      </c>
      <c r="C142" s="61" t="s">
        <v>125</v>
      </c>
    </row>
    <row r="143" spans="1:3" ht="12.75">
      <c r="A143" s="60">
        <v>96</v>
      </c>
      <c r="B143" s="61" t="s">
        <v>130</v>
      </c>
      <c r="C143" s="61" t="s">
        <v>125</v>
      </c>
    </row>
    <row r="144" spans="1:3" ht="12.75">
      <c r="A144" s="60">
        <v>97</v>
      </c>
      <c r="B144" s="61" t="s">
        <v>130</v>
      </c>
      <c r="C144" s="61" t="s">
        <v>125</v>
      </c>
    </row>
    <row r="145" spans="1:3" ht="12.75">
      <c r="A145" s="60">
        <v>98</v>
      </c>
      <c r="B145" s="61" t="s">
        <v>130</v>
      </c>
      <c r="C145" s="61" t="s">
        <v>125</v>
      </c>
    </row>
    <row r="146" spans="1:3" ht="12.75">
      <c r="A146" s="60">
        <v>99</v>
      </c>
      <c r="B146" s="62" t="s">
        <v>130</v>
      </c>
      <c r="C146" s="62" t="s">
        <v>125</v>
      </c>
    </row>
  </sheetData>
  <sheetProtection sheet="1" objects="1" scenarios="1"/>
  <mergeCells count="1">
    <mergeCell ref="A31:B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2019-04-16T08:44:56Z</cp:lastPrinted>
  <dcterms:modified xsi:type="dcterms:W3CDTF">2019-04-16T08:49:08Z</dcterms:modified>
  <cp:category/>
  <cp:version/>
  <cp:contentType/>
  <cp:contentStatus/>
</cp:coreProperties>
</file>