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ошторис" sheetId="1" r:id="rId1"/>
    <sheet name="Лист" sheetId="2" state="hidden" r:id="rId2"/>
  </sheets>
  <definedNames>
    <definedName name="_xlnm.Print_Area" localSheetId="0">'Кошторис'!$A$1:$Q$45</definedName>
  </definedNames>
  <calcPr fullCalcOnLoad="1"/>
</workbook>
</file>

<file path=xl/sharedStrings.xml><?xml version="1.0" encoding="utf-8"?>
<sst xmlns="http://schemas.openxmlformats.org/spreadsheetml/2006/main" count="367" uniqueCount="121">
  <si>
    <t>Затверджую: міський голова</t>
  </si>
  <si>
    <t>С.К.Нігай</t>
  </si>
  <si>
    <t>Ліміти</t>
  </si>
  <si>
    <t>по Апостолівській міській раді ЗВЕДЕНИЙ</t>
  </si>
  <si>
    <t>КЕКВ</t>
  </si>
  <si>
    <t>Одиниці виміру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</si>
  <si>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</si>
  <si>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</si>
  <si>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</si>
  <si>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</si>
  <si>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</si>
  <si>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</si>
  <si>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</si>
  <si>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</si>
  <si>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</si>
  <si>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</si>
  <si>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</si>
  <si>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</si>
  <si>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</si>
  <si>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r>
      <t>м</t>
    </r>
    <r>
      <rPr>
        <vertAlign val="superscript"/>
        <sz val="12"/>
        <rFont val="Times New Roman"/>
        <family val="1"/>
      </rPr>
      <t>3</t>
    </r>
  </si>
  <si>
    <t>грн.</t>
  </si>
  <si>
    <t>Д/к "Струмочок"</t>
  </si>
  <si>
    <t>ДНЗ "Казка" Перше травня</t>
  </si>
  <si>
    <t>ДНЗ "Кульбабка" Перше травня</t>
  </si>
  <si>
    <r>
      <t>м</t>
    </r>
    <r>
      <rPr>
        <b/>
        <vertAlign val="superscript"/>
        <sz val="12"/>
        <rFont val="Times New Roman"/>
        <family val="1"/>
      </rPr>
      <t>3</t>
    </r>
  </si>
  <si>
    <t>м3</t>
  </si>
  <si>
    <t>Кам'янка адмінбуділі</t>
  </si>
  <si>
    <t>Михайлівка адмінбудівля</t>
  </si>
  <si>
    <t>Перше Травня адмінбудівля</t>
  </si>
  <si>
    <t>ВСЬОГО</t>
  </si>
  <si>
    <t>Начальник фінансово-економічного відділу</t>
  </si>
  <si>
    <t>Н.В.Осипенко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</si>
  <si>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</si>
  <si>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</si>
  <si>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</si>
  <si>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</si>
  <si>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</si>
  <si>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</si>
  <si>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</si>
  <si>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</si>
  <si>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</si>
  <si>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</si>
  <si>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</si>
  <si>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</si>
  <si>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</si>
  <si>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</si>
  <si>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</si>
  <si>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</si>
  <si>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</si>
  <si>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</si>
  <si>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</si>
  <si>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</si>
  <si>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</si>
  <si>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</si>
  <si>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</si>
  <si>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</si>
  <si>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</si>
  <si>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</si>
  <si>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</si>
  <si>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</si>
  <si>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</si>
  <si>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</si>
  <si>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</si>
  <si>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</si>
  <si>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</si>
  <si>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</si>
  <si>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</si>
  <si>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</si>
  <si>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</si>
  <si>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</si>
  <si>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</si>
  <si>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</si>
  <si>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</si>
  <si>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п'ятьсот </t>
  </si>
  <si>
    <t>Настройки:</t>
  </si>
  <si>
    <t xml:space="preserve">шість </t>
  </si>
  <si>
    <t xml:space="preserve">шістдесят </t>
  </si>
  <si>
    <t xml:space="preserve">шістьсот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</si>
  <si>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</si>
  <si>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</si>
  <si>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</si>
  <si>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</si>
  <si>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</si>
  <si>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</si>
  <si>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</si>
  <si>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</si>
  <si>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</si>
  <si>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</si>
  <si>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</si>
  <si>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</si>
  <si>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дев'ятьсот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</si>
  <si>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</si>
  <si>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</si>
  <si>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</si>
  <si>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</si>
  <si>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</si>
  <si>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</si>
  <si>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</si>
  <si>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</si>
  <si>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</si>
  <si>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</si>
  <si>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</si>
  <si>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</si>
  <si>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</si>
  <si>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</si>
  <si>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</si>
  <si>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</si>
  <si>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</si>
  <si>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Апостолове адмінбудівля</t>
  </si>
  <si>
    <t>Д/к № 1 "Малятко"</t>
  </si>
  <si>
    <t>Д/к № 2 "Барвинок"</t>
  </si>
  <si>
    <t>Михайлівський д/садок "Калинка"</t>
  </si>
  <si>
    <t>0211010</t>
  </si>
  <si>
    <t>ВСЬОГО 0211010</t>
  </si>
  <si>
    <t xml:space="preserve"> 0214060 Клуб с.Українка</t>
  </si>
  <si>
    <t>0214060 РБК "Сучасник"</t>
  </si>
  <si>
    <t>0211100 Апостолівська ШЕВ</t>
  </si>
  <si>
    <t>ВСЬОГО 210150</t>
  </si>
  <si>
    <r>
      <t>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газу =14,586</t>
    </r>
  </si>
  <si>
    <t>використання бюджетних асигнувань на придбання газу на 2019 рік</t>
  </si>
  <si>
    <t>6030 Вічний вогонь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</si>
</sst>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General_)"/>
    <numFmt numFmtId="173" formatCode="0.0000"/>
    <numFmt numFmtId="174" formatCode="0.000"/>
    <numFmt numFmtId="175" formatCode="0.0"/>
    <numFmt numFmtId="176" formatCode="0.00000"/>
    <numFmt numFmtId="177" formatCode="0.0000000"/>
    <numFmt numFmtId="178" formatCode="0.000000"/>
  </numFmts>
  <fonts count="57">
    <font>
      <sz val="10"/>
      <name val="Times New Roman Cyr"/>
      <family val="1"/>
    </font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 Cyr"/>
      <family val="1"/>
    </font>
    <font>
      <u val="single"/>
      <sz val="12"/>
      <name val="Times New Roman"/>
      <family val="1"/>
    </font>
    <font>
      <sz val="12"/>
      <name val="Times New Roman Cyr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"/>
      <family val="2"/>
    </font>
    <font>
      <sz val="6"/>
      <color indexed="17"/>
      <name val="Arial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right" wrapText="1"/>
    </xf>
    <xf numFmtId="1" fontId="2" fillId="0" borderId="11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center" wrapText="1"/>
    </xf>
    <xf numFmtId="1" fontId="8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10" fillId="0" borderId="0" xfId="0" applyFont="1" applyAlignment="1">
      <alignment/>
    </xf>
    <xf numFmtId="3" fontId="8" fillId="0" borderId="11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2" fontId="13" fillId="33" borderId="0" xfId="0" applyNumberFormat="1" applyFont="1" applyFill="1" applyAlignment="1" applyProtection="1">
      <alignment/>
      <protection/>
    </xf>
    <xf numFmtId="172" fontId="14" fillId="33" borderId="15" xfId="0" applyNumberFormat="1" applyFont="1" applyFill="1" applyBorder="1" applyAlignment="1" applyProtection="1">
      <alignment/>
      <protection/>
    </xf>
    <xf numFmtId="172" fontId="0" fillId="33" borderId="0" xfId="0" applyNumberFormat="1" applyFill="1" applyAlignment="1" applyProtection="1">
      <alignment horizontal="right"/>
      <protection/>
    </xf>
    <xf numFmtId="0" fontId="15" fillId="34" borderId="15" xfId="0" applyFont="1" applyFill="1" applyBorder="1" applyAlignment="1">
      <alignment/>
    </xf>
    <xf numFmtId="172" fontId="15" fillId="34" borderId="15" xfId="0" applyNumberFormat="1" applyFont="1" applyFill="1" applyBorder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172" fontId="14" fillId="0" borderId="0" xfId="0" applyNumberFormat="1" applyFont="1" applyAlignment="1" applyProtection="1">
      <alignment/>
      <protection/>
    </xf>
    <xf numFmtId="172" fontId="16" fillId="0" borderId="15" xfId="0" applyNumberFormat="1" applyFont="1" applyBorder="1" applyAlignment="1" applyProtection="1">
      <alignment horizontal="left"/>
      <protection/>
    </xf>
    <xf numFmtId="172" fontId="14" fillId="0" borderId="15" xfId="0" applyNumberFormat="1" applyFont="1" applyBorder="1" applyAlignment="1" applyProtection="1">
      <alignment/>
      <protection/>
    </xf>
    <xf numFmtId="172" fontId="16" fillId="0" borderId="15" xfId="0" applyNumberFormat="1" applyFont="1" applyBorder="1" applyAlignment="1" applyProtection="1">
      <alignment/>
      <protection/>
    </xf>
    <xf numFmtId="172" fontId="14" fillId="0" borderId="15" xfId="0" applyNumberFormat="1" applyFont="1" applyBorder="1" applyAlignment="1" applyProtection="1">
      <alignment horizontal="left"/>
      <protection/>
    </xf>
    <xf numFmtId="0" fontId="16" fillId="34" borderId="16" xfId="0" applyFont="1" applyFill="1" applyBorder="1" applyAlignment="1">
      <alignment horizontal="right"/>
    </xf>
    <xf numFmtId="172" fontId="16" fillId="0" borderId="16" xfId="0" applyNumberFormat="1" applyFont="1" applyBorder="1" applyAlignment="1" applyProtection="1">
      <alignment/>
      <protection/>
    </xf>
    <xf numFmtId="172" fontId="0" fillId="0" borderId="16" xfId="0" applyNumberFormat="1" applyBorder="1" applyAlignment="1" applyProtection="1">
      <alignment/>
      <protection/>
    </xf>
    <xf numFmtId="0" fontId="16" fillId="34" borderId="0" xfId="0" applyFont="1" applyFill="1" applyAlignment="1">
      <alignment horizontal="right"/>
    </xf>
    <xf numFmtId="172" fontId="16" fillId="0" borderId="0" xfId="0" applyNumberFormat="1" applyFont="1" applyAlignment="1" applyProtection="1">
      <alignment/>
      <protection/>
    </xf>
    <xf numFmtId="172" fontId="16" fillId="35" borderId="0" xfId="0" applyNumberFormat="1" applyFont="1" applyFill="1" applyAlignment="1" applyProtection="1">
      <alignment/>
      <protection/>
    </xf>
    <xf numFmtId="172" fontId="0" fillId="35" borderId="0" xfId="0" applyNumberFormat="1" applyFill="1" applyAlignment="1" applyProtection="1">
      <alignment/>
      <protection/>
    </xf>
    <xf numFmtId="172" fontId="0" fillId="36" borderId="0" xfId="0" applyNumberFormat="1" applyFill="1" applyAlignment="1" applyProtection="1">
      <alignment/>
      <protection/>
    </xf>
    <xf numFmtId="172" fontId="17" fillId="37" borderId="14" xfId="0" applyNumberFormat="1" applyFont="1" applyFill="1" applyBorder="1" applyAlignment="1" applyProtection="1">
      <alignment horizontal="center"/>
      <protection/>
    </xf>
    <xf numFmtId="172" fontId="15" fillId="0" borderId="0" xfId="0" applyNumberFormat="1" applyFont="1" applyAlignment="1" applyProtection="1">
      <alignment/>
      <protection/>
    </xf>
    <xf numFmtId="172" fontId="15" fillId="34" borderId="11" xfId="0" applyNumberFormat="1" applyFont="1" applyFill="1" applyBorder="1" applyAlignment="1" applyProtection="1">
      <alignment horizontal="center"/>
      <protection/>
    </xf>
    <xf numFmtId="172" fontId="17" fillId="37" borderId="17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Alignment="1" applyProtection="1">
      <alignment horizontal="left"/>
      <protection/>
    </xf>
    <xf numFmtId="172" fontId="0" fillId="0" borderId="17" xfId="0" applyNumberFormat="1" applyFont="1" applyBorder="1" applyAlignment="1" applyProtection="1">
      <alignment horizontal="left"/>
      <protection/>
    </xf>
    <xf numFmtId="172" fontId="0" fillId="0" borderId="15" xfId="0" applyNumberFormat="1" applyFont="1" applyBorder="1" applyAlignment="1" applyProtection="1">
      <alignment horizontal="left"/>
      <protection/>
    </xf>
    <xf numFmtId="172" fontId="18" fillId="37" borderId="17" xfId="0" applyNumberFormat="1" applyFont="1" applyFill="1" applyBorder="1" applyAlignment="1" applyProtection="1">
      <alignment horizontal="left"/>
      <protection/>
    </xf>
    <xf numFmtId="172" fontId="16" fillId="0" borderId="17" xfId="0" applyNumberFormat="1" applyFont="1" applyBorder="1" applyAlignment="1" applyProtection="1">
      <alignment horizontal="left"/>
      <protection/>
    </xf>
    <xf numFmtId="172" fontId="18" fillId="37" borderId="18" xfId="0" applyNumberFormat="1" applyFont="1" applyFill="1" applyBorder="1" applyAlignment="1" applyProtection="1">
      <alignment horizontal="left"/>
      <protection/>
    </xf>
    <xf numFmtId="172" fontId="19" fillId="0" borderId="0" xfId="0" applyNumberFormat="1" applyFont="1" applyAlignment="1" applyProtection="1">
      <alignment/>
      <protection/>
    </xf>
    <xf numFmtId="172" fontId="19" fillId="0" borderId="0" xfId="0" applyNumberFormat="1" applyFont="1" applyAlignment="1" applyProtection="1">
      <alignment horizontal="right"/>
      <protection/>
    </xf>
    <xf numFmtId="172" fontId="20" fillId="0" borderId="15" xfId="0" applyNumberFormat="1" applyFont="1" applyBorder="1" applyAlignment="1" applyProtection="1">
      <alignment horizontal="right"/>
      <protection/>
    </xf>
    <xf numFmtId="172" fontId="13" fillId="37" borderId="19" xfId="0" applyNumberFormat="1" applyFont="1" applyFill="1" applyBorder="1" applyAlignment="1" applyProtection="1">
      <alignment horizontal="center"/>
      <protection/>
    </xf>
    <xf numFmtId="172" fontId="20" fillId="0" borderId="20" xfId="0" applyNumberFormat="1" applyFont="1" applyBorder="1" applyAlignment="1" applyProtection="1">
      <alignment horizontal="right"/>
      <protection/>
    </xf>
    <xf numFmtId="172" fontId="13" fillId="37" borderId="13" xfId="0" applyNumberFormat="1" applyFont="1" applyFill="1" applyBorder="1" applyAlignment="1" applyProtection="1">
      <alignment horizontal="center"/>
      <protection/>
    </xf>
    <xf numFmtId="172" fontId="16" fillId="0" borderId="18" xfId="0" applyNumberFormat="1" applyFont="1" applyBorder="1" applyAlignment="1" applyProtection="1">
      <alignment horizontal="left"/>
      <protection/>
    </xf>
    <xf numFmtId="172" fontId="16" fillId="0" borderId="20" xfId="0" applyNumberFormat="1" applyFont="1" applyBorder="1" applyAlignment="1" applyProtection="1">
      <alignment horizontal="left"/>
      <protection/>
    </xf>
    <xf numFmtId="172" fontId="16" fillId="0" borderId="0" xfId="0" applyNumberFormat="1" applyFont="1" applyBorder="1" applyAlignment="1" applyProtection="1">
      <alignment horizontal="left"/>
      <protection/>
    </xf>
    <xf numFmtId="172" fontId="16" fillId="0" borderId="14" xfId="0" applyNumberFormat="1" applyFont="1" applyBorder="1" applyAlignment="1" applyProtection="1">
      <alignment/>
      <protection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0" fontId="12" fillId="38" borderId="0" xfId="0" applyFont="1" applyFill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1" fontId="8" fillId="0" borderId="22" xfId="0" applyNumberFormat="1" applyFont="1" applyBorder="1" applyAlignment="1">
      <alignment horizontal="right" wrapText="1"/>
    </xf>
    <xf numFmtId="1" fontId="8" fillId="39" borderId="22" xfId="0" applyNumberFormat="1" applyFont="1" applyFill="1" applyBorder="1" applyAlignment="1">
      <alignment horizontal="right" wrapText="1"/>
    </xf>
    <xf numFmtId="3" fontId="8" fillId="39" borderId="22" xfId="0" applyNumberFormat="1" applyFont="1" applyFill="1" applyBorder="1" applyAlignment="1">
      <alignment horizontal="right" wrapText="1"/>
    </xf>
    <xf numFmtId="1" fontId="2" fillId="39" borderId="10" xfId="0" applyNumberFormat="1" applyFont="1" applyFill="1" applyBorder="1" applyAlignment="1">
      <alignment horizontal="right" wrapText="1"/>
    </xf>
    <xf numFmtId="1" fontId="2" fillId="39" borderId="22" xfId="0" applyNumberFormat="1" applyFont="1" applyFill="1" applyBorder="1" applyAlignment="1">
      <alignment horizontal="right" wrapText="1"/>
    </xf>
    <xf numFmtId="0" fontId="22" fillId="0" borderId="14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5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5" fillId="4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0</xdr:col>
      <xdr:colOff>409575</xdr:colOff>
      <xdr:row>25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7775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409575</xdr:colOff>
      <xdr:row>25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7775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Zeros="0" tabSelected="1" zoomScaleSheetLayoutView="75" zoomScalePageLayoutView="0" workbookViewId="0" topLeftCell="A13">
      <selection activeCell="A24" sqref="A24:A25"/>
    </sheetView>
  </sheetViews>
  <sheetFormatPr defaultColWidth="9.00390625" defaultRowHeight="12.75"/>
  <cols>
    <col min="1" max="1" width="22.50390625" style="0" customWidth="1"/>
    <col min="3" max="3" width="16.125" style="0" customWidth="1"/>
    <col min="4" max="4" width="15.875" style="0" customWidth="1"/>
    <col min="5" max="5" width="13.50390625" style="0" customWidth="1"/>
    <col min="6" max="6" width="11.50390625" style="0" customWidth="1"/>
    <col min="7" max="7" width="13.50390625" style="0" customWidth="1"/>
    <col min="8" max="8" width="14.00390625" style="0" bestFit="1" customWidth="1"/>
    <col min="10" max="10" width="14.625" style="0" customWidth="1"/>
    <col min="12" max="12" width="10.375" style="0" customWidth="1"/>
    <col min="13" max="14" width="12.875" style="0" customWidth="1"/>
    <col min="15" max="15" width="11.375" style="0" customWidth="1"/>
    <col min="16" max="16" width="13.50390625" style="0" customWidth="1"/>
    <col min="17" max="17" width="16.125" style="0" customWidth="1"/>
    <col min="18" max="18" width="10.50390625" style="0" bestFit="1" customWidth="1"/>
  </cols>
  <sheetData>
    <row r="1" ht="12.75">
      <c r="M1" t="s">
        <v>0</v>
      </c>
    </row>
    <row r="2" spans="13:15" ht="12.75">
      <c r="M2" s="1"/>
      <c r="N2" s="1"/>
      <c r="O2" t="s">
        <v>1</v>
      </c>
    </row>
    <row r="3" spans="1:16" ht="15.7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 customHeight="1">
      <c r="A4" s="92" t="s">
        <v>119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5.75" customHeight="1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8" s="5" customFormat="1" ht="13.5" customHeight="1">
      <c r="A6" s="2" t="s">
        <v>118</v>
      </c>
      <c r="B6" s="3" t="s">
        <v>4</v>
      </c>
      <c r="C6" s="3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69" t="s">
        <v>18</v>
      </c>
      <c r="Q6" s="82"/>
      <c r="R6" s="84"/>
    </row>
    <row r="7" spans="1:18" s="5" customFormat="1" ht="15.75">
      <c r="A7" s="6" t="s">
        <v>112</v>
      </c>
      <c r="B7" s="3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0"/>
      <c r="Q7" s="82"/>
      <c r="R7" s="84"/>
    </row>
    <row r="8" spans="1:18" s="5" customFormat="1" ht="15.75" customHeight="1">
      <c r="A8" s="89" t="s">
        <v>109</v>
      </c>
      <c r="B8" s="89">
        <v>2274</v>
      </c>
      <c r="C8" s="7" t="s">
        <v>19</v>
      </c>
      <c r="D8" s="10">
        <v>9000</v>
      </c>
      <c r="E8" s="10">
        <v>9000</v>
      </c>
      <c r="F8" s="10">
        <v>8500</v>
      </c>
      <c r="G8" s="10">
        <v>8500</v>
      </c>
      <c r="H8" s="10">
        <f>H9/8.55684</f>
        <v>0</v>
      </c>
      <c r="I8" s="10">
        <f>I9/8.55684</f>
        <v>0</v>
      </c>
      <c r="J8" s="10">
        <f>J9/8.55684</f>
        <v>0</v>
      </c>
      <c r="K8" s="10">
        <f>K9/8.55684</f>
        <v>0</v>
      </c>
      <c r="L8" s="10">
        <f>L9/8.55684</f>
        <v>0</v>
      </c>
      <c r="M8" s="10">
        <v>8500</v>
      </c>
      <c r="N8" s="10">
        <v>8500</v>
      </c>
      <c r="O8" s="10">
        <v>9000</v>
      </c>
      <c r="P8" s="71">
        <f aca="true" t="shared" si="0" ref="P8:P18">SUM(D8:O8)</f>
        <v>61000</v>
      </c>
      <c r="Q8" s="82"/>
      <c r="R8" s="84"/>
    </row>
    <row r="9" spans="1:18" s="5" customFormat="1" ht="15.75">
      <c r="A9" s="89"/>
      <c r="B9" s="89"/>
      <c r="C9" s="7" t="s">
        <v>20</v>
      </c>
      <c r="D9" s="9">
        <f>14.586*9000</f>
        <v>131274</v>
      </c>
      <c r="E9" s="9">
        <f>14.586*9000</f>
        <v>131274</v>
      </c>
      <c r="F9" s="9">
        <f>14.586*8500</f>
        <v>123981</v>
      </c>
      <c r="G9" s="9">
        <f>14.586*8500</f>
        <v>123981</v>
      </c>
      <c r="H9" s="9"/>
      <c r="I9" s="9"/>
      <c r="J9" s="9"/>
      <c r="K9" s="9"/>
      <c r="L9" s="9"/>
      <c r="M9" s="9">
        <f>14.586*8500</f>
        <v>123981</v>
      </c>
      <c r="N9" s="9">
        <f>14.586*8500</f>
        <v>123981</v>
      </c>
      <c r="O9" s="9">
        <f>14.586*9000</f>
        <v>131274</v>
      </c>
      <c r="P9" s="75">
        <f>D9+E9+F9+G9+M9+N9+O9</f>
        <v>889746</v>
      </c>
      <c r="Q9" s="82"/>
      <c r="R9" s="84"/>
    </row>
    <row r="10" spans="1:18" s="5" customFormat="1" ht="18.75" customHeight="1">
      <c r="A10" s="89" t="s">
        <v>110</v>
      </c>
      <c r="B10" s="89">
        <v>2274</v>
      </c>
      <c r="C10" s="7" t="s">
        <v>19</v>
      </c>
      <c r="D10" s="11">
        <v>2600</v>
      </c>
      <c r="E10" s="11">
        <v>2600</v>
      </c>
      <c r="F10" s="11">
        <v>2500</v>
      </c>
      <c r="G10" s="11">
        <v>2500</v>
      </c>
      <c r="H10" s="11">
        <f>H11/8.55684</f>
        <v>0</v>
      </c>
      <c r="I10" s="11">
        <f>I11/8.55684</f>
        <v>0</v>
      </c>
      <c r="J10" s="11">
        <f>J11/8.55684</f>
        <v>0</v>
      </c>
      <c r="K10" s="11">
        <f>K11/8.55684</f>
        <v>0</v>
      </c>
      <c r="L10" s="11">
        <f>L11/8.55684</f>
        <v>0</v>
      </c>
      <c r="M10" s="11">
        <v>2500</v>
      </c>
      <c r="N10" s="11">
        <v>2500</v>
      </c>
      <c r="O10" s="11">
        <v>2600</v>
      </c>
      <c r="P10" s="71">
        <f t="shared" si="0"/>
        <v>17800</v>
      </c>
      <c r="Q10" s="82"/>
      <c r="R10" s="84"/>
    </row>
    <row r="11" spans="1:18" s="5" customFormat="1" ht="18" customHeight="1">
      <c r="A11" s="89"/>
      <c r="B11" s="89"/>
      <c r="C11" s="7" t="s">
        <v>20</v>
      </c>
      <c r="D11" s="11">
        <f>14.586*2600</f>
        <v>37923.6</v>
      </c>
      <c r="E11" s="11">
        <f>14.586*2600</f>
        <v>37923.6</v>
      </c>
      <c r="F11" s="11">
        <f>14.586*2500</f>
        <v>36465</v>
      </c>
      <c r="G11" s="11">
        <f>14.586*2500</f>
        <v>36465</v>
      </c>
      <c r="H11" s="11"/>
      <c r="I11" s="11"/>
      <c r="J11" s="11"/>
      <c r="K11" s="11"/>
      <c r="L11" s="11"/>
      <c r="M11" s="11">
        <f>14.586*2500</f>
        <v>36465</v>
      </c>
      <c r="N11" s="11">
        <f>14.586*2500</f>
        <v>36465</v>
      </c>
      <c r="O11" s="11">
        <f>14.586*2600</f>
        <v>37923.6</v>
      </c>
      <c r="P11" s="75">
        <f>D11+E11+F11+G11+M11+N11+O11</f>
        <v>259630.80000000002</v>
      </c>
      <c r="Q11" s="82"/>
      <c r="R11" s="84"/>
    </row>
    <row r="12" spans="1:18" s="5" customFormat="1" ht="18.75" customHeight="1">
      <c r="A12" s="89" t="s">
        <v>21</v>
      </c>
      <c r="B12" s="89">
        <v>2274</v>
      </c>
      <c r="C12" s="7" t="s">
        <v>19</v>
      </c>
      <c r="D12" s="11">
        <v>3200</v>
      </c>
      <c r="E12" s="11">
        <v>3200</v>
      </c>
      <c r="F12" s="11">
        <v>3000</v>
      </c>
      <c r="G12" s="11">
        <v>3000</v>
      </c>
      <c r="H12" s="11">
        <f>H13/8.55684</f>
        <v>0</v>
      </c>
      <c r="I12" s="11">
        <f>I13/8.55684</f>
        <v>0</v>
      </c>
      <c r="J12" s="11">
        <f>J13/8.55684</f>
        <v>0</v>
      </c>
      <c r="K12" s="11">
        <f>K13/8.55684</f>
        <v>0</v>
      </c>
      <c r="L12" s="11">
        <f>L13/8.55684</f>
        <v>0</v>
      </c>
      <c r="M12" s="11">
        <v>3000</v>
      </c>
      <c r="N12" s="11">
        <v>3100</v>
      </c>
      <c r="O12" s="11">
        <v>3200</v>
      </c>
      <c r="P12" s="71">
        <f t="shared" si="0"/>
        <v>21700</v>
      </c>
      <c r="Q12" s="82"/>
      <c r="R12" s="84"/>
    </row>
    <row r="13" spans="1:18" s="5" customFormat="1" ht="15.75">
      <c r="A13" s="89"/>
      <c r="B13" s="89"/>
      <c r="C13" s="7" t="s">
        <v>20</v>
      </c>
      <c r="D13" s="11">
        <f>14.586*3200</f>
        <v>46675.200000000004</v>
      </c>
      <c r="E13" s="11">
        <f>14.586*3200</f>
        <v>46675.200000000004</v>
      </c>
      <c r="F13" s="11">
        <f>14.586*3000</f>
        <v>43758</v>
      </c>
      <c r="G13" s="11">
        <f>14.586*3000</f>
        <v>43758</v>
      </c>
      <c r="H13" s="11"/>
      <c r="I13" s="11"/>
      <c r="J13" s="11"/>
      <c r="K13" s="11"/>
      <c r="L13" s="11"/>
      <c r="M13" s="11">
        <f>14.586*3000</f>
        <v>43758</v>
      </c>
      <c r="N13" s="11">
        <f>14.586*3100</f>
        <v>45216.6</v>
      </c>
      <c r="O13" s="11">
        <f>14.586*3200</f>
        <v>46675.200000000004</v>
      </c>
      <c r="P13" s="75">
        <f>D13+E13+F13+G13+M13+N13+O13</f>
        <v>316516.2</v>
      </c>
      <c r="Q13" s="82"/>
      <c r="R13" s="84"/>
    </row>
    <row r="14" spans="1:18" s="5" customFormat="1" ht="18.75" customHeight="1">
      <c r="A14" s="89" t="s">
        <v>111</v>
      </c>
      <c r="B14" s="89">
        <v>2274</v>
      </c>
      <c r="C14" s="7" t="s">
        <v>19</v>
      </c>
      <c r="D14" s="11">
        <v>1950</v>
      </c>
      <c r="E14" s="11">
        <v>2150</v>
      </c>
      <c r="F14" s="11">
        <v>1500</v>
      </c>
      <c r="G14" s="11">
        <v>790</v>
      </c>
      <c r="H14" s="11">
        <f>H15/8.55684</f>
        <v>0</v>
      </c>
      <c r="I14" s="11">
        <f>I15/8.55684</f>
        <v>0</v>
      </c>
      <c r="J14" s="11">
        <f>J15/8.55684</f>
        <v>0</v>
      </c>
      <c r="K14" s="11">
        <f>K15/8.55684</f>
        <v>0</v>
      </c>
      <c r="L14" s="11">
        <f>L15/8.55684</f>
        <v>0</v>
      </c>
      <c r="M14" s="11">
        <v>790</v>
      </c>
      <c r="N14" s="11">
        <v>1500</v>
      </c>
      <c r="O14" s="11">
        <v>1950</v>
      </c>
      <c r="P14" s="71">
        <f t="shared" si="0"/>
        <v>10630</v>
      </c>
      <c r="Q14" s="82"/>
      <c r="R14" s="84"/>
    </row>
    <row r="15" spans="1:18" s="5" customFormat="1" ht="15.75">
      <c r="A15" s="89"/>
      <c r="B15" s="89"/>
      <c r="C15" s="7" t="s">
        <v>20</v>
      </c>
      <c r="D15" s="11">
        <f>14.586*1950</f>
        <v>28442.7</v>
      </c>
      <c r="E15" s="11">
        <f>14.586*2150</f>
        <v>31359.9</v>
      </c>
      <c r="F15" s="11">
        <f>14.586*1500</f>
        <v>21879</v>
      </c>
      <c r="G15" s="11">
        <f>14.586*790</f>
        <v>11522.94</v>
      </c>
      <c r="H15" s="11"/>
      <c r="I15" s="11"/>
      <c r="J15" s="11"/>
      <c r="K15" s="11"/>
      <c r="L15" s="11"/>
      <c r="M15" s="11">
        <f>14.586*790</f>
        <v>11522.94</v>
      </c>
      <c r="N15" s="11">
        <f>14.586*1500</f>
        <v>21879</v>
      </c>
      <c r="O15" s="11">
        <f>14.586*1950</f>
        <v>28442.7</v>
      </c>
      <c r="P15" s="75">
        <f>D15+E15+F15+G15+M15+N15+O15</f>
        <v>155049.18000000002</v>
      </c>
      <c r="Q15" s="82"/>
      <c r="R15" s="84"/>
    </row>
    <row r="16" spans="1:18" s="5" customFormat="1" ht="17.25" customHeight="1">
      <c r="A16" s="89" t="s">
        <v>22</v>
      </c>
      <c r="B16" s="89">
        <v>2274</v>
      </c>
      <c r="C16" s="7" t="s">
        <v>19</v>
      </c>
      <c r="D16" s="11">
        <v>1600</v>
      </c>
      <c r="E16" s="11">
        <v>1800</v>
      </c>
      <c r="F16" s="11">
        <v>1400</v>
      </c>
      <c r="G16" s="11">
        <v>843</v>
      </c>
      <c r="H16" s="11">
        <f>H17/8.55684</f>
        <v>0</v>
      </c>
      <c r="I16" s="11">
        <f>I17/8.55684</f>
        <v>0</v>
      </c>
      <c r="J16" s="11">
        <f>J17/8.55684</f>
        <v>0</v>
      </c>
      <c r="K16" s="11">
        <f>K17/8.55684</f>
        <v>0</v>
      </c>
      <c r="L16" s="11">
        <f>L17/8.55684</f>
        <v>0</v>
      </c>
      <c r="M16" s="11">
        <v>700</v>
      </c>
      <c r="N16" s="11">
        <v>1422</v>
      </c>
      <c r="O16" s="11">
        <v>1786</v>
      </c>
      <c r="P16" s="71">
        <f t="shared" si="0"/>
        <v>9551</v>
      </c>
      <c r="Q16" s="82"/>
      <c r="R16" s="84"/>
    </row>
    <row r="17" spans="1:18" s="5" customFormat="1" ht="15.75">
      <c r="A17" s="89"/>
      <c r="B17" s="89"/>
      <c r="C17" s="7" t="s">
        <v>20</v>
      </c>
      <c r="D17" s="11">
        <f>14.586*1600</f>
        <v>23337.600000000002</v>
      </c>
      <c r="E17" s="11">
        <f>14.586*1800</f>
        <v>26254.8</v>
      </c>
      <c r="F17" s="11">
        <f>14.586*1400</f>
        <v>20420.4</v>
      </c>
      <c r="G17" s="11">
        <f>14.586*843</f>
        <v>12295.998</v>
      </c>
      <c r="H17" s="11"/>
      <c r="I17" s="11"/>
      <c r="J17" s="11"/>
      <c r="K17" s="11"/>
      <c r="L17" s="11"/>
      <c r="M17" s="11">
        <f>14.586*700</f>
        <v>10210.2</v>
      </c>
      <c r="N17" s="11">
        <f>14.586*1422</f>
        <v>20741.292</v>
      </c>
      <c r="O17" s="11">
        <f>14.586*1786</f>
        <v>26050.596</v>
      </c>
      <c r="P17" s="75">
        <f>D17+E17+F17+G17+M17+N17+O17</f>
        <v>139310.886</v>
      </c>
      <c r="Q17" s="82"/>
      <c r="R17" s="84"/>
    </row>
    <row r="18" spans="1:18" s="5" customFormat="1" ht="17.25" customHeight="1">
      <c r="A18" s="89" t="s">
        <v>23</v>
      </c>
      <c r="B18" s="89">
        <v>2274</v>
      </c>
      <c r="C18" s="7" t="s">
        <v>19</v>
      </c>
      <c r="D18" s="11">
        <v>1550</v>
      </c>
      <c r="E18" s="11">
        <v>1550</v>
      </c>
      <c r="F18" s="11">
        <v>1160</v>
      </c>
      <c r="G18" s="11">
        <v>843</v>
      </c>
      <c r="H18" s="11">
        <f>H19/8.55684</f>
        <v>0</v>
      </c>
      <c r="I18" s="11">
        <f>I19/8.55684</f>
        <v>0</v>
      </c>
      <c r="J18" s="11">
        <f>J19/8.55684</f>
        <v>0</v>
      </c>
      <c r="K18" s="11">
        <f>K19/8.55684</f>
        <v>0</v>
      </c>
      <c r="L18" s="11">
        <f>L19/8.55684</f>
        <v>0</v>
      </c>
      <c r="M18" s="11">
        <v>1200</v>
      </c>
      <c r="N18" s="11">
        <v>1550</v>
      </c>
      <c r="O18" s="11">
        <v>1600</v>
      </c>
      <c r="P18" s="71">
        <f t="shared" si="0"/>
        <v>9453</v>
      </c>
      <c r="Q18" s="82"/>
      <c r="R18" s="84"/>
    </row>
    <row r="19" spans="1:18" s="5" customFormat="1" ht="15.75">
      <c r="A19" s="89"/>
      <c r="B19" s="89"/>
      <c r="C19" s="7" t="s">
        <v>20</v>
      </c>
      <c r="D19" s="11">
        <f>14.586*1550</f>
        <v>22608.3</v>
      </c>
      <c r="E19" s="11">
        <f>14.586*1550</f>
        <v>22608.3</v>
      </c>
      <c r="F19" s="11">
        <f>14.586*1160</f>
        <v>16919.760000000002</v>
      </c>
      <c r="G19" s="11">
        <f>14.586*843</f>
        <v>12295.998</v>
      </c>
      <c r="H19" s="11"/>
      <c r="I19" s="11"/>
      <c r="J19" s="11"/>
      <c r="K19" s="11"/>
      <c r="L19" s="11"/>
      <c r="M19" s="11">
        <f>14.586*1200</f>
        <v>17503.2</v>
      </c>
      <c r="N19" s="11">
        <f>14.586*1550</f>
        <v>22608.3</v>
      </c>
      <c r="O19" s="11">
        <f>14.586*1600</f>
        <v>23337.600000000002</v>
      </c>
      <c r="P19" s="75">
        <f>D19+E19+F19+G19+M19+N19+O19</f>
        <v>137881.458</v>
      </c>
      <c r="Q19" s="82"/>
      <c r="R19" s="84"/>
    </row>
    <row r="20" spans="1:18" s="15" customFormat="1" ht="18.75" customHeight="1">
      <c r="A20" s="88" t="s">
        <v>113</v>
      </c>
      <c r="B20" s="88">
        <v>2274</v>
      </c>
      <c r="C20" s="12" t="s">
        <v>24</v>
      </c>
      <c r="D20" s="13">
        <f aca="true" t="shared" si="1" ref="D20:G21">D8+D10+D12+D14+D16+D18</f>
        <v>19900</v>
      </c>
      <c r="E20" s="13">
        <f t="shared" si="1"/>
        <v>20300</v>
      </c>
      <c r="F20" s="13">
        <f t="shared" si="1"/>
        <v>18060</v>
      </c>
      <c r="G20" s="13">
        <f t="shared" si="1"/>
        <v>16476</v>
      </c>
      <c r="H20" s="14">
        <f aca="true" t="shared" si="2" ref="H20:L21">H8+H10+H12</f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3">
        <f aca="true" t="shared" si="3" ref="M20:P21">M8+M10+M12+M14+M16+M18</f>
        <v>16690</v>
      </c>
      <c r="N20" s="13">
        <f t="shared" si="3"/>
        <v>18572</v>
      </c>
      <c r="O20" s="13">
        <f t="shared" si="3"/>
        <v>20136</v>
      </c>
      <c r="P20" s="72">
        <f t="shared" si="3"/>
        <v>130134</v>
      </c>
      <c r="Q20" s="83"/>
      <c r="R20" s="85"/>
    </row>
    <row r="21" spans="1:18" s="15" customFormat="1" ht="15.75">
      <c r="A21" s="88"/>
      <c r="B21" s="88"/>
      <c r="C21" s="12" t="s">
        <v>20</v>
      </c>
      <c r="D21" s="16">
        <f t="shared" si="1"/>
        <v>290261.4</v>
      </c>
      <c r="E21" s="16">
        <f t="shared" si="1"/>
        <v>296095.8</v>
      </c>
      <c r="F21" s="16">
        <f t="shared" si="1"/>
        <v>263423.16</v>
      </c>
      <c r="G21" s="16">
        <f t="shared" si="1"/>
        <v>240318.936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67">
        <f t="shared" si="3"/>
        <v>243440.34000000003</v>
      </c>
      <c r="N21" s="16">
        <f t="shared" si="3"/>
        <v>270891.192</v>
      </c>
      <c r="O21" s="16">
        <f t="shared" si="3"/>
        <v>293703.696</v>
      </c>
      <c r="P21" s="74">
        <f t="shared" si="3"/>
        <v>1898134.524</v>
      </c>
      <c r="Q21" s="83"/>
      <c r="R21" s="85"/>
    </row>
    <row r="22" spans="1:18" s="5" customFormat="1" ht="17.25" customHeight="1">
      <c r="A22" s="90" t="s">
        <v>120</v>
      </c>
      <c r="B22" s="89"/>
      <c r="C22" s="7" t="s">
        <v>19</v>
      </c>
      <c r="D22" s="11">
        <v>18.373</v>
      </c>
      <c r="E22" s="11">
        <v>53</v>
      </c>
      <c r="F22" s="11">
        <f aca="true" t="shared" si="4" ref="F22:O22">F23/8.55684</f>
        <v>0</v>
      </c>
      <c r="G22" s="11">
        <f t="shared" si="4"/>
        <v>0</v>
      </c>
      <c r="H22" s="11">
        <v>52</v>
      </c>
      <c r="I22" s="11"/>
      <c r="J22" s="11"/>
      <c r="K22" s="11"/>
      <c r="L22" s="11"/>
      <c r="M22" s="11">
        <f t="shared" si="4"/>
        <v>0</v>
      </c>
      <c r="N22" s="11">
        <f t="shared" si="4"/>
        <v>0</v>
      </c>
      <c r="O22" s="11">
        <f t="shared" si="4"/>
        <v>0</v>
      </c>
      <c r="P22" s="71">
        <f>SUM(D22:O22)</f>
        <v>123.373</v>
      </c>
      <c r="Q22" s="82"/>
      <c r="R22" s="84"/>
    </row>
    <row r="23" spans="1:18" s="5" customFormat="1" ht="15.75">
      <c r="A23" s="90"/>
      <c r="B23" s="89"/>
      <c r="C23" s="7" t="s">
        <v>20</v>
      </c>
      <c r="D23" s="11">
        <f>14.586*D22</f>
        <v>267.988578</v>
      </c>
      <c r="E23" s="11">
        <f>14.586*53</f>
        <v>773.058</v>
      </c>
      <c r="F23" s="11"/>
      <c r="G23" s="11"/>
      <c r="H23" s="11">
        <f>14.586*52</f>
        <v>758.472</v>
      </c>
      <c r="I23" s="11"/>
      <c r="J23" s="11"/>
      <c r="K23" s="11"/>
      <c r="L23" s="11"/>
      <c r="M23" s="11"/>
      <c r="N23" s="11"/>
      <c r="O23" s="11"/>
      <c r="P23" s="75">
        <f>D23+E23+H23</f>
        <v>1799.518578</v>
      </c>
      <c r="Q23" s="82"/>
      <c r="R23" s="84"/>
    </row>
    <row r="24" spans="1:18" s="5" customFormat="1" ht="22.5" customHeight="1">
      <c r="A24" s="90" t="s">
        <v>114</v>
      </c>
      <c r="B24" s="89">
        <v>2274</v>
      </c>
      <c r="C24" s="2" t="s">
        <v>25</v>
      </c>
      <c r="D24" s="11">
        <v>2108</v>
      </c>
      <c r="E24" s="11">
        <v>2108</v>
      </c>
      <c r="F24" s="11">
        <v>2107</v>
      </c>
      <c r="G24" s="11">
        <v>1580</v>
      </c>
      <c r="H24" s="11">
        <f>H25/8.55684</f>
        <v>0</v>
      </c>
      <c r="I24" s="11">
        <f>I25/8.55684</f>
        <v>0</v>
      </c>
      <c r="J24" s="11">
        <f>J25/8.55684</f>
        <v>0</v>
      </c>
      <c r="K24" s="11">
        <f>K25/8.55684</f>
        <v>0</v>
      </c>
      <c r="L24" s="11">
        <f>L25/8.55684</f>
        <v>0</v>
      </c>
      <c r="M24" s="11">
        <v>1580</v>
      </c>
      <c r="N24" s="11">
        <v>2107</v>
      </c>
      <c r="O24" s="11">
        <v>2107</v>
      </c>
      <c r="P24" s="71">
        <f aca="true" t="shared" si="5" ref="P24:P35">SUM(D24:O24)</f>
        <v>13697</v>
      </c>
      <c r="Q24" s="82"/>
      <c r="R24" s="84"/>
    </row>
    <row r="25" spans="1:18" s="5" customFormat="1" ht="15.75">
      <c r="A25" s="90"/>
      <c r="B25" s="89"/>
      <c r="C25" s="2" t="s">
        <v>20</v>
      </c>
      <c r="D25" s="11">
        <f>14.586*2108</f>
        <v>30747.288</v>
      </c>
      <c r="E25" s="11">
        <f>14.586*2108</f>
        <v>30747.288</v>
      </c>
      <c r="F25" s="11">
        <f>14.586*2107</f>
        <v>30732.702</v>
      </c>
      <c r="G25" s="11">
        <f>14.586*1580</f>
        <v>23045.88</v>
      </c>
      <c r="H25" s="11"/>
      <c r="I25" s="11"/>
      <c r="J25" s="11"/>
      <c r="K25" s="11"/>
      <c r="L25" s="11"/>
      <c r="M25" s="11">
        <f>14.586*1580</f>
        <v>23045.88</v>
      </c>
      <c r="N25" s="11">
        <f>14.586*2107</f>
        <v>30732.702</v>
      </c>
      <c r="O25" s="11">
        <f>14.586*2107</f>
        <v>30732.702</v>
      </c>
      <c r="P25" s="75">
        <f>D25+E25+F25+G25+M25+N25+O25</f>
        <v>199784.44199999998</v>
      </c>
      <c r="Q25" s="82"/>
      <c r="R25" s="84"/>
    </row>
    <row r="26" spans="1:18" s="5" customFormat="1" ht="31.5" customHeight="1">
      <c r="A26" s="90" t="s">
        <v>115</v>
      </c>
      <c r="B26" s="91">
        <v>2274</v>
      </c>
      <c r="C26" s="17" t="s">
        <v>19</v>
      </c>
      <c r="D26" s="18">
        <f>5260+2240</f>
        <v>7500</v>
      </c>
      <c r="E26" s="18">
        <v>8000</v>
      </c>
      <c r="F26" s="18">
        <v>8000</v>
      </c>
      <c r="G26" s="18">
        <v>4000</v>
      </c>
      <c r="H26" s="18"/>
      <c r="I26" s="18"/>
      <c r="J26" s="18"/>
      <c r="K26" s="18"/>
      <c r="L26" s="18"/>
      <c r="M26" s="18">
        <v>3500</v>
      </c>
      <c r="N26" s="18">
        <v>7163</v>
      </c>
      <c r="O26" s="18">
        <v>8000</v>
      </c>
      <c r="P26" s="71">
        <f t="shared" si="5"/>
        <v>46163</v>
      </c>
      <c r="Q26" s="82"/>
      <c r="R26" s="84"/>
    </row>
    <row r="27" spans="1:18" s="5" customFormat="1" ht="15.75">
      <c r="A27" s="90"/>
      <c r="B27" s="91"/>
      <c r="C27" s="17" t="s">
        <v>20</v>
      </c>
      <c r="D27" s="18">
        <f>14.586*7500</f>
        <v>109395</v>
      </c>
      <c r="E27" s="18">
        <f>14.586*8000</f>
        <v>116688</v>
      </c>
      <c r="F27" s="18">
        <f>14.586*8000</f>
        <v>116688</v>
      </c>
      <c r="G27" s="18">
        <f>14.586*4000</f>
        <v>58344</v>
      </c>
      <c r="H27" s="18"/>
      <c r="I27" s="18"/>
      <c r="J27" s="18"/>
      <c r="K27" s="18"/>
      <c r="L27" s="18"/>
      <c r="M27" s="18">
        <f>14.586*3500</f>
        <v>51051</v>
      </c>
      <c r="N27" s="18">
        <f>14.586*7163</f>
        <v>104479.518</v>
      </c>
      <c r="O27" s="18">
        <f>14.586*8000</f>
        <v>116688</v>
      </c>
      <c r="P27" s="76">
        <f>D27+E27+F27+G27+M27+N27+O27</f>
        <v>673333.518</v>
      </c>
      <c r="Q27" s="82"/>
      <c r="R27" s="84"/>
    </row>
    <row r="28" spans="1:18" s="5" customFormat="1" ht="47.25" customHeight="1">
      <c r="A28" s="90" t="s">
        <v>116</v>
      </c>
      <c r="B28" s="91">
        <v>2274</v>
      </c>
      <c r="C28" s="17" t="s">
        <v>19</v>
      </c>
      <c r="D28" s="18">
        <v>5260</v>
      </c>
      <c r="E28" s="18">
        <v>2100</v>
      </c>
      <c r="F28" s="18">
        <v>2000</v>
      </c>
      <c r="G28" s="18">
        <v>1000</v>
      </c>
      <c r="H28" s="18">
        <f>H29/8.55684</f>
        <v>0</v>
      </c>
      <c r="I28" s="18">
        <f>I29/8.55684</f>
        <v>0</v>
      </c>
      <c r="J28" s="18">
        <f>J29/8.55684</f>
        <v>0</v>
      </c>
      <c r="K28" s="18">
        <f>K29/8.55684</f>
        <v>0</v>
      </c>
      <c r="L28" s="18">
        <f>L29/8.55684</f>
        <v>0</v>
      </c>
      <c r="M28" s="18">
        <v>2000</v>
      </c>
      <c r="N28" s="18">
        <v>2100</v>
      </c>
      <c r="O28" s="18">
        <v>2500</v>
      </c>
      <c r="P28" s="71">
        <f t="shared" si="5"/>
        <v>16960</v>
      </c>
      <c r="Q28" s="82"/>
      <c r="R28" s="84"/>
    </row>
    <row r="29" spans="1:18" s="5" customFormat="1" ht="15.75">
      <c r="A29" s="90"/>
      <c r="B29" s="91"/>
      <c r="C29" s="17" t="s">
        <v>20</v>
      </c>
      <c r="D29" s="18">
        <f>14.586*5260</f>
        <v>76722.36</v>
      </c>
      <c r="E29" s="18">
        <f>14.586*2100</f>
        <v>30630.600000000002</v>
      </c>
      <c r="F29" s="18">
        <f>14.586*2000</f>
        <v>29172</v>
      </c>
      <c r="G29" s="18">
        <f>14.586*1000</f>
        <v>14586</v>
      </c>
      <c r="H29" s="18"/>
      <c r="I29" s="18"/>
      <c r="J29" s="18"/>
      <c r="K29" s="18"/>
      <c r="L29" s="18"/>
      <c r="M29" s="18">
        <f>14.586*2000</f>
        <v>29172</v>
      </c>
      <c r="N29" s="18">
        <f>14.586*2100</f>
        <v>30630.600000000002</v>
      </c>
      <c r="O29" s="18">
        <f>14.586*2500</f>
        <v>36465</v>
      </c>
      <c r="P29" s="76">
        <f>D29+E29+F29+G29+M29+N29+O29</f>
        <v>247378.56000000003</v>
      </c>
      <c r="Q29" s="82"/>
      <c r="R29" s="84"/>
    </row>
    <row r="30" spans="1:18" s="5" customFormat="1" ht="20.25">
      <c r="A30" s="77">
        <v>210150</v>
      </c>
      <c r="B30" s="19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1"/>
      <c r="Q30" s="82"/>
      <c r="R30" s="84"/>
    </row>
    <row r="31" spans="1:18" s="5" customFormat="1" ht="15.75" customHeight="1">
      <c r="A31" s="89" t="s">
        <v>26</v>
      </c>
      <c r="B31" s="89">
        <v>2274</v>
      </c>
      <c r="C31" s="2" t="s">
        <v>25</v>
      </c>
      <c r="D31" s="11">
        <v>738</v>
      </c>
      <c r="E31" s="11">
        <v>860</v>
      </c>
      <c r="F31" s="11">
        <v>523</v>
      </c>
      <c r="G31" s="11">
        <v>316</v>
      </c>
      <c r="H31" s="11">
        <f>H32/8.55684</f>
        <v>0</v>
      </c>
      <c r="I31" s="11">
        <f>I32/8.55684</f>
        <v>0</v>
      </c>
      <c r="J31" s="11">
        <f>J32/8.55684</f>
        <v>0</v>
      </c>
      <c r="K31" s="11">
        <f>K32/8.55684</f>
        <v>0</v>
      </c>
      <c r="L31" s="11">
        <f>L32/8.55684</f>
        <v>0</v>
      </c>
      <c r="M31" s="11">
        <v>274</v>
      </c>
      <c r="N31" s="11">
        <v>632</v>
      </c>
      <c r="O31" s="11">
        <v>726</v>
      </c>
      <c r="P31" s="71">
        <f t="shared" si="5"/>
        <v>4069</v>
      </c>
      <c r="Q31" s="82"/>
      <c r="R31" s="84"/>
    </row>
    <row r="32" spans="1:18" s="5" customFormat="1" ht="14.25" customHeight="1">
      <c r="A32" s="89"/>
      <c r="B32" s="89"/>
      <c r="C32" s="2" t="s">
        <v>20</v>
      </c>
      <c r="D32" s="11">
        <f>14.586*738</f>
        <v>10764.468</v>
      </c>
      <c r="E32" s="11">
        <f>14.586*860</f>
        <v>12543.960000000001</v>
      </c>
      <c r="F32" s="11">
        <f>14.586*523</f>
        <v>7628.478</v>
      </c>
      <c r="G32" s="11">
        <f>14.586*316</f>
        <v>4609.176</v>
      </c>
      <c r="H32" s="11"/>
      <c r="I32" s="11"/>
      <c r="J32" s="11"/>
      <c r="K32" s="11"/>
      <c r="L32" s="11"/>
      <c r="M32" s="11">
        <f>14.586*274</f>
        <v>3996.5640000000003</v>
      </c>
      <c r="N32" s="11">
        <f>14.586*632</f>
        <v>9218.352</v>
      </c>
      <c r="O32" s="11">
        <f>14.586*726</f>
        <v>10589.436</v>
      </c>
      <c r="P32" s="75">
        <f>D32+E32+F32+G32+M32+N32+O32</f>
        <v>59350.434</v>
      </c>
      <c r="Q32" s="82"/>
      <c r="R32" s="84"/>
    </row>
    <row r="33" spans="1:18" s="5" customFormat="1" ht="18" customHeight="1">
      <c r="A33" s="89" t="s">
        <v>27</v>
      </c>
      <c r="B33" s="89">
        <v>2274</v>
      </c>
      <c r="C33" s="2" t="s">
        <v>25</v>
      </c>
      <c r="D33" s="11">
        <v>2318</v>
      </c>
      <c r="E33" s="11">
        <v>2318</v>
      </c>
      <c r="F33" s="11">
        <v>2107</v>
      </c>
      <c r="G33" s="11">
        <v>790</v>
      </c>
      <c r="H33" s="11">
        <f>H34/8.55684</f>
        <v>0</v>
      </c>
      <c r="I33" s="11">
        <f>I34/8.55684</f>
        <v>0</v>
      </c>
      <c r="J33" s="11">
        <f>J34/8.55684</f>
        <v>0</v>
      </c>
      <c r="K33" s="11">
        <f>K34/8.55684</f>
        <v>0</v>
      </c>
      <c r="L33" s="11">
        <f>L34/8.55684</f>
        <v>0</v>
      </c>
      <c r="M33" s="11">
        <v>790</v>
      </c>
      <c r="N33" s="11">
        <v>2107</v>
      </c>
      <c r="O33" s="11">
        <v>2319</v>
      </c>
      <c r="P33" s="71">
        <f t="shared" si="5"/>
        <v>12749</v>
      </c>
      <c r="Q33" s="82"/>
      <c r="R33" s="84"/>
    </row>
    <row r="34" spans="1:18" s="5" customFormat="1" ht="16.5" customHeight="1">
      <c r="A34" s="89"/>
      <c r="B34" s="89"/>
      <c r="C34" s="2" t="s">
        <v>20</v>
      </c>
      <c r="D34" s="11">
        <f>14.586*2318</f>
        <v>33810.348</v>
      </c>
      <c r="E34" s="11">
        <f>14.586*2318</f>
        <v>33810.348</v>
      </c>
      <c r="F34" s="11">
        <f>14.586*2107</f>
        <v>30732.702</v>
      </c>
      <c r="G34" s="11">
        <f>14.586*790</f>
        <v>11522.94</v>
      </c>
      <c r="H34" s="11"/>
      <c r="I34" s="11"/>
      <c r="J34" s="11"/>
      <c r="K34" s="11"/>
      <c r="L34" s="11"/>
      <c r="M34" s="11">
        <f>14.586*790</f>
        <v>11522.94</v>
      </c>
      <c r="N34" s="11">
        <f>14.586*2107</f>
        <v>30732.702</v>
      </c>
      <c r="O34" s="11">
        <f>14.586*2319</f>
        <v>33824.934</v>
      </c>
      <c r="P34" s="75">
        <f>D34+E34+F34+G34+M34+N34+O34</f>
        <v>185956.91400000002</v>
      </c>
      <c r="Q34" s="82"/>
      <c r="R34" s="84"/>
    </row>
    <row r="35" spans="1:18" s="5" customFormat="1" ht="14.25" customHeight="1">
      <c r="A35" s="89" t="s">
        <v>28</v>
      </c>
      <c r="B35" s="89">
        <v>2274</v>
      </c>
      <c r="C35" s="2" t="s">
        <v>25</v>
      </c>
      <c r="D35" s="11">
        <v>1054</v>
      </c>
      <c r="E35" s="11">
        <v>1054</v>
      </c>
      <c r="F35" s="11">
        <v>1054</v>
      </c>
      <c r="G35" s="11">
        <v>422</v>
      </c>
      <c r="H35" s="11"/>
      <c r="I35" s="11"/>
      <c r="J35" s="11"/>
      <c r="K35" s="11"/>
      <c r="L35" s="11"/>
      <c r="M35" s="11">
        <v>880</v>
      </c>
      <c r="N35" s="11">
        <v>1054</v>
      </c>
      <c r="O35" s="11">
        <v>1054</v>
      </c>
      <c r="P35" s="71">
        <f t="shared" si="5"/>
        <v>6572</v>
      </c>
      <c r="Q35" s="82"/>
      <c r="R35" s="84"/>
    </row>
    <row r="36" spans="1:18" s="5" customFormat="1" ht="14.25" customHeight="1">
      <c r="A36" s="89"/>
      <c r="B36" s="89"/>
      <c r="C36" s="2" t="s">
        <v>20</v>
      </c>
      <c r="D36" s="11">
        <f>14.586*1054</f>
        <v>15373.644</v>
      </c>
      <c r="E36" s="11">
        <f>14.586*1054</f>
        <v>15373.644</v>
      </c>
      <c r="F36" s="11">
        <f>14.586*1054</f>
        <v>15373.644</v>
      </c>
      <c r="G36" s="11">
        <f>14.586*422</f>
        <v>6155.292</v>
      </c>
      <c r="H36" s="11"/>
      <c r="I36" s="11"/>
      <c r="J36" s="11"/>
      <c r="K36" s="11"/>
      <c r="L36" s="11"/>
      <c r="M36" s="11">
        <f>14.586*880</f>
        <v>12835.68</v>
      </c>
      <c r="N36" s="11">
        <f>14.586*1054</f>
        <v>15373.644</v>
      </c>
      <c r="O36" s="11">
        <f>14.586*1054</f>
        <v>15373.644</v>
      </c>
      <c r="P36" s="75">
        <f>D36+E36+F36+G36+M36+N36+O36</f>
        <v>95859.19200000001</v>
      </c>
      <c r="Q36" s="82"/>
      <c r="R36" s="84"/>
    </row>
    <row r="37" spans="1:18" s="5" customFormat="1" ht="14.25" customHeight="1">
      <c r="A37" s="86" t="s">
        <v>108</v>
      </c>
      <c r="B37" s="86">
        <v>2274</v>
      </c>
      <c r="C37" s="7" t="s">
        <v>25</v>
      </c>
      <c r="D37" s="18">
        <v>1714</v>
      </c>
      <c r="E37" s="11">
        <v>2114</v>
      </c>
      <c r="F37" s="11">
        <v>2028</v>
      </c>
      <c r="G37" s="11">
        <v>1000</v>
      </c>
      <c r="H37" s="11"/>
      <c r="I37" s="11"/>
      <c r="J37" s="11"/>
      <c r="K37" s="11"/>
      <c r="L37" s="11"/>
      <c r="M37" s="11">
        <v>900</v>
      </c>
      <c r="N37" s="11">
        <v>2121</v>
      </c>
      <c r="O37" s="11">
        <v>2123</v>
      </c>
      <c r="P37" s="71">
        <f>D37+E37+F37+G37+M37+N37+O37</f>
        <v>12000</v>
      </c>
      <c r="Q37" s="82"/>
      <c r="R37" s="84"/>
    </row>
    <row r="38" spans="1:18" s="5" customFormat="1" ht="15.75" customHeight="1">
      <c r="A38" s="87"/>
      <c r="B38" s="87"/>
      <c r="C38" s="7" t="s">
        <v>20</v>
      </c>
      <c r="D38" s="18">
        <f>14.586*1714</f>
        <v>25000.404000000002</v>
      </c>
      <c r="E38" s="18">
        <f>14.586*2114</f>
        <v>30834.804</v>
      </c>
      <c r="F38" s="18">
        <f>14.586*2028</f>
        <v>29580.408</v>
      </c>
      <c r="G38" s="18">
        <f>14.586*1000</f>
        <v>14586</v>
      </c>
      <c r="H38" s="11"/>
      <c r="I38" s="11"/>
      <c r="J38" s="11"/>
      <c r="K38" s="11"/>
      <c r="L38" s="11"/>
      <c r="M38" s="11">
        <f>14.586*900</f>
        <v>13127.4</v>
      </c>
      <c r="N38" s="11">
        <f>14.586*2121</f>
        <v>30936.906</v>
      </c>
      <c r="O38" s="11">
        <f>14.586*2123</f>
        <v>30966.078</v>
      </c>
      <c r="P38" s="71">
        <f>D38+E38+F38+G38+M38+N38+O38</f>
        <v>175032</v>
      </c>
      <c r="Q38" s="82"/>
      <c r="R38" s="84"/>
    </row>
    <row r="39" spans="1:18" s="15" customFormat="1" ht="15" customHeight="1">
      <c r="A39" s="88" t="s">
        <v>117</v>
      </c>
      <c r="B39" s="88">
        <v>2274</v>
      </c>
      <c r="C39" s="12" t="s">
        <v>24</v>
      </c>
      <c r="D39" s="13">
        <f>D31+D33+D35+D37</f>
        <v>5824</v>
      </c>
      <c r="E39" s="13">
        <f>E30+E31+E33+E35+E37</f>
        <v>6346</v>
      </c>
      <c r="F39" s="13">
        <f>F30+F31+F33+F35+F37</f>
        <v>5712</v>
      </c>
      <c r="G39" s="13">
        <f>G30+G31+G33+G35+G37</f>
        <v>2528</v>
      </c>
      <c r="H39" s="13">
        <f>H30+H31+H33+H35</f>
        <v>0</v>
      </c>
      <c r="I39" s="13">
        <f>I30+I31+I33+I35</f>
        <v>0</v>
      </c>
      <c r="J39" s="13">
        <f>J30+J31+J33+J35</f>
        <v>0</v>
      </c>
      <c r="K39" s="13">
        <f>K30+K31+K33+K35</f>
        <v>0</v>
      </c>
      <c r="L39" s="13">
        <f>L30+L31+L33+L35</f>
        <v>0</v>
      </c>
      <c r="M39" s="13">
        <f>M30+M31+M33+M35+M37</f>
        <v>2844</v>
      </c>
      <c r="N39" s="13">
        <f>N30+N31+N33+N35+N37</f>
        <v>5914</v>
      </c>
      <c r="O39" s="13">
        <f>O30+O31+O33+O35+O37</f>
        <v>6222</v>
      </c>
      <c r="P39" s="73">
        <f>P30+P31+P33+P35+P37</f>
        <v>35390</v>
      </c>
      <c r="Q39" s="83"/>
      <c r="R39" s="85"/>
    </row>
    <row r="40" spans="1:18" s="15" customFormat="1" ht="15.75">
      <c r="A40" s="88"/>
      <c r="B40" s="88"/>
      <c r="C40" s="12" t="s">
        <v>20</v>
      </c>
      <c r="D40" s="16">
        <f>D32+D34+D36+D38</f>
        <v>84948.864</v>
      </c>
      <c r="E40" s="16">
        <f>E32+E34+E36+E38</f>
        <v>92562.756</v>
      </c>
      <c r="F40" s="16">
        <f>F32+F34+F36+F38</f>
        <v>83315.232</v>
      </c>
      <c r="G40" s="16">
        <f>G32+G34+G36+G38</f>
        <v>36873.408</v>
      </c>
      <c r="H40" s="16">
        <f>H32+H34+H36</f>
        <v>0</v>
      </c>
      <c r="I40" s="16">
        <f>I32+I34+I36</f>
        <v>0</v>
      </c>
      <c r="J40" s="16">
        <f>J32+J34+J36</f>
        <v>0</v>
      </c>
      <c r="K40" s="16">
        <f>K32+K34+K36</f>
        <v>0</v>
      </c>
      <c r="L40" s="16">
        <f>L32+L34+L36</f>
        <v>0</v>
      </c>
      <c r="M40" s="67">
        <f>M32+M34+M36+M38</f>
        <v>41482.584</v>
      </c>
      <c r="N40" s="16">
        <f>N32+N34+N36+N38</f>
        <v>86261.604</v>
      </c>
      <c r="O40" s="16">
        <f>O32+O34+O36+O38</f>
        <v>90754.092</v>
      </c>
      <c r="P40" s="74">
        <f>P32+P34+P36+P38</f>
        <v>516198.54000000004</v>
      </c>
      <c r="Q40" s="83"/>
      <c r="R40" s="85"/>
    </row>
    <row r="41" spans="1:18" s="15" customFormat="1" ht="15.75" customHeight="1">
      <c r="A41" s="88" t="s">
        <v>29</v>
      </c>
      <c r="B41" s="88">
        <v>2274</v>
      </c>
      <c r="C41" s="20" t="s">
        <v>25</v>
      </c>
      <c r="D41" s="13">
        <f>D20+D22+D24+D26+D28+D39</f>
        <v>40610.373</v>
      </c>
      <c r="E41" s="13">
        <f aca="true" t="shared" si="6" ref="E41:O41">E20+E22+E24+E26+E28+E39</f>
        <v>38907</v>
      </c>
      <c r="F41" s="13">
        <f t="shared" si="6"/>
        <v>35879</v>
      </c>
      <c r="G41" s="13">
        <f t="shared" si="6"/>
        <v>25584</v>
      </c>
      <c r="H41" s="13">
        <f t="shared" si="6"/>
        <v>52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3">
        <f t="shared" si="6"/>
        <v>26614</v>
      </c>
      <c r="N41" s="13">
        <f t="shared" si="6"/>
        <v>35856</v>
      </c>
      <c r="O41" s="13">
        <f t="shared" si="6"/>
        <v>38965</v>
      </c>
      <c r="P41" s="72">
        <f>P20+P22+P24+P26+P28+P39</f>
        <v>242467.37300000002</v>
      </c>
      <c r="Q41" s="83"/>
      <c r="R41" s="85"/>
    </row>
    <row r="42" spans="1:18" s="15" customFormat="1" ht="15.75">
      <c r="A42" s="88"/>
      <c r="B42" s="88"/>
      <c r="C42" s="20" t="s">
        <v>20</v>
      </c>
      <c r="D42" s="13">
        <f>D21+D23+D25+D27+D29+D40</f>
        <v>592342.900578</v>
      </c>
      <c r="E42" s="13">
        <f aca="true" t="shared" si="7" ref="E42:P42">E21+E23+E25+E27+E29+E40</f>
        <v>567497.502</v>
      </c>
      <c r="F42" s="13">
        <f t="shared" si="7"/>
        <v>523331.094</v>
      </c>
      <c r="G42" s="13">
        <f t="shared" si="7"/>
        <v>373168.224</v>
      </c>
      <c r="H42" s="13">
        <f t="shared" si="7"/>
        <v>758.472</v>
      </c>
      <c r="I42" s="13">
        <f t="shared" si="7"/>
        <v>0</v>
      </c>
      <c r="J42" s="13">
        <f t="shared" si="7"/>
        <v>0</v>
      </c>
      <c r="K42" s="13">
        <f t="shared" si="7"/>
        <v>0</v>
      </c>
      <c r="L42" s="13">
        <f t="shared" si="7"/>
        <v>0</v>
      </c>
      <c r="M42" s="13">
        <f t="shared" si="7"/>
        <v>388191.804</v>
      </c>
      <c r="N42" s="13">
        <f t="shared" si="7"/>
        <v>522995.6159999999</v>
      </c>
      <c r="O42" s="13">
        <f t="shared" si="7"/>
        <v>568343.49</v>
      </c>
      <c r="P42" s="72">
        <f t="shared" si="7"/>
        <v>3536629.102578</v>
      </c>
      <c r="Q42" s="83"/>
      <c r="R42" s="85"/>
    </row>
    <row r="43" spans="1:16" s="5" customFormat="1" ht="15.75">
      <c r="A43" s="21"/>
      <c r="B43" s="21"/>
      <c r="C43" s="21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68"/>
    </row>
    <row r="44" spans="1:16" s="5" customFormat="1" ht="15.75">
      <c r="A44" s="23" t="s">
        <v>30</v>
      </c>
      <c r="B44" s="23"/>
      <c r="C44" s="23"/>
      <c r="D44"/>
      <c r="E44"/>
      <c r="F44"/>
      <c r="G44"/>
      <c r="H44" s="22" t="s">
        <v>31</v>
      </c>
      <c r="I44" s="22"/>
      <c r="J44"/>
      <c r="K44" s="22"/>
      <c r="L44" s="22"/>
      <c r="M44" s="78"/>
      <c r="N44" s="79"/>
      <c r="O44" s="79"/>
      <c r="P44" s="22"/>
    </row>
    <row r="45" spans="13:15" ht="12.75">
      <c r="M45" s="80"/>
      <c r="N45" s="80"/>
      <c r="O45" s="80"/>
    </row>
    <row r="46" spans="13:15" ht="12.75">
      <c r="M46" s="80"/>
      <c r="N46" s="80"/>
      <c r="O46" s="80"/>
    </row>
    <row r="47" spans="13:15" ht="12.75">
      <c r="M47" s="80"/>
      <c r="N47" s="80"/>
      <c r="O47" s="81"/>
    </row>
    <row r="50" ht="12.75">
      <c r="P50">
        <f>Q44-P51</f>
        <v>0</v>
      </c>
    </row>
  </sheetData>
  <sheetProtection selectLockedCells="1" selectUnlockedCells="1"/>
  <mergeCells count="37">
    <mergeCell ref="A3:P3"/>
    <mergeCell ref="A4:P4"/>
    <mergeCell ref="A5:P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</mergeCells>
  <printOptions horizontalCentered="1"/>
  <pageMargins left="0.39375" right="0.39375" top="0.17847222222222223" bottom="0.11805555555555555" header="0.5118055555555555" footer="0.5118055555555555"/>
  <pageSetup fitToHeight="2" fitToWidth="1" horizontalDpi="600" verticalDpi="600" orientation="landscape" paperSize="9" scale="68" r:id="rId2"/>
  <ignoredErrors>
    <ignoredError sqref="P15 P18 P9 P34 P27 P32 P23" formula="1"/>
    <ignoredError sqref="A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showZeros="0"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16.375" style="0" customWidth="1"/>
    <col min="2" max="2" width="12.00390625" style="0" customWidth="1"/>
    <col min="3" max="3" width="15.125" style="0" customWidth="1"/>
    <col min="4" max="4" width="17.00390625" style="0" customWidth="1"/>
    <col min="5" max="5" width="17.125" style="0" customWidth="1"/>
    <col min="6" max="6" width="19.625" style="0" customWidth="1"/>
  </cols>
  <sheetData>
    <row r="1" spans="1:6" ht="12.75">
      <c r="A1" s="24" t="e">
        <f>Кошторис!#REF!</f>
        <v>#REF!</v>
      </c>
      <c r="B1" s="25" t="e">
        <f>LEFT("000000000000",12-LEN(FIXED(TRUNC(A1),0,TRUE)))&amp;FIXED(TRUNC(A1),0,TRUE)</f>
        <v>#REF!</v>
      </c>
      <c r="C1" s="26"/>
      <c r="D1" s="27" t="s">
        <v>32</v>
      </c>
      <c r="E1" s="28" t="s">
        <v>33</v>
      </c>
      <c r="F1" s="29"/>
    </row>
    <row r="2" spans="1:6" ht="12.75">
      <c r="A2" s="30" t="e">
        <f>VALUE(MID($B$1,1,1))</f>
        <v>#REF!</v>
      </c>
      <c r="B2" s="31" t="s">
        <v>34</v>
      </c>
      <c r="C2" s="29"/>
      <c r="D2" s="32" t="e">
        <f>IF(A2&gt;0,INDEX(E25:F34,A2+1,1)," ")</f>
        <v>#REF!</v>
      </c>
      <c r="E2" s="31" t="e">
        <f>LEN(TRIM(D2))</f>
        <v>#REF!</v>
      </c>
      <c r="F2" s="29"/>
    </row>
    <row r="3" spans="1:6" ht="12.75">
      <c r="A3" s="30" t="e">
        <f>VALUE(MID($B$1,2,1))</f>
        <v>#REF!</v>
      </c>
      <c r="B3" s="31" t="s">
        <v>35</v>
      </c>
      <c r="C3" s="29"/>
      <c r="D3" s="32" t="e">
        <f>IF(A3&gt;1,INDEX(D25:E34,A3+1,1)," ")</f>
        <v>#REF!</v>
      </c>
      <c r="E3" s="31" t="e">
        <f>LEN(TRIM(D2&amp;D3))</f>
        <v>#REF!</v>
      </c>
      <c r="F3" s="29"/>
    </row>
    <row r="4" spans="1:6" ht="12.75">
      <c r="A4" s="30" t="e">
        <f>VALUE(MID($B$1,3,1))</f>
        <v>#REF!</v>
      </c>
      <c r="B4" s="31" t="s">
        <v>36</v>
      </c>
      <c r="C4" s="29"/>
      <c r="D4" s="32" t="e">
        <f>IF(AND(A3&lt;2,(A3+A4)&gt;0),INDEX(F25:G44,A4+A3*10+1,1),INDEX(F25:G44,A4+1,1))</f>
        <v>#REF!</v>
      </c>
      <c r="E4" s="31" t="e">
        <f>LEN(TRIM(D2&amp;D3&amp;D4))</f>
        <v>#REF!</v>
      </c>
      <c r="F4" s="29"/>
    </row>
    <row r="5" spans="1:6" ht="12.75">
      <c r="A5" s="30"/>
      <c r="B5" s="33"/>
      <c r="C5" s="29"/>
      <c r="D5" s="32" t="e">
        <f>IF(SUM(A2:A4)&gt;0,IF(D4="один "," мільярд ",IF(OR(OR(D4="два ",D4="три "),D4="чотири ")," мільярда "," мільярдів "))," ")</f>
        <v>#REF!</v>
      </c>
      <c r="E5" s="31" t="e">
        <f>LEN(TRIM(D2&amp;D3&amp;D4&amp;D5))</f>
        <v>#REF!</v>
      </c>
      <c r="F5" s="29"/>
    </row>
    <row r="6" spans="1:6" ht="12.75">
      <c r="A6" s="30" t="e">
        <f>VALUE(MID($B$1,4,1))</f>
        <v>#REF!</v>
      </c>
      <c r="B6" s="31" t="s">
        <v>37</v>
      </c>
      <c r="C6" s="29"/>
      <c r="D6" s="32" t="e">
        <f>IF(A6&gt;0,INDEX(E25:F34,A6+1,1)," ")</f>
        <v>#REF!</v>
      </c>
      <c r="E6" s="31" t="e">
        <f>LEN(TRIM(D2&amp;D3&amp;D4&amp;D5&amp;D6))</f>
        <v>#REF!</v>
      </c>
      <c r="F6" s="29"/>
    </row>
    <row r="7" spans="1:6" ht="12.75">
      <c r="A7" s="30" t="e">
        <f>VALUE(MID($B$1,5,1))</f>
        <v>#REF!</v>
      </c>
      <c r="B7" s="31" t="s">
        <v>38</v>
      </c>
      <c r="C7" s="29"/>
      <c r="D7" s="32" t="e">
        <f>IF(A7&gt;1,INDEX(D25:E34,A7+1,1)," ")</f>
        <v>#REF!</v>
      </c>
      <c r="E7" s="31" t="e">
        <f>LEN(TRIM(D2&amp;D3&amp;D4&amp;D5&amp;D6&amp;D7))</f>
        <v>#REF!</v>
      </c>
      <c r="F7" s="29"/>
    </row>
    <row r="8" spans="1:6" ht="12.75">
      <c r="A8" s="30" t="e">
        <f>VALUE(MID($B$1,6,1))</f>
        <v>#REF!</v>
      </c>
      <c r="B8" s="31" t="s">
        <v>39</v>
      </c>
      <c r="C8" s="29"/>
      <c r="D8" s="32" t="e">
        <f>IF(AND(A7&lt;2,(A7+A8)&gt;0),INDEX(F25:G44,A8+A7*10+1,1),INDEX(F25:G44,A8+1,1))</f>
        <v>#REF!</v>
      </c>
      <c r="E8" s="31" t="e">
        <f>LEN(TRIM(D2&amp;D3&amp;D4&amp;D5&amp;D6&amp;D7&amp;D8))</f>
        <v>#REF!</v>
      </c>
      <c r="F8" s="29"/>
    </row>
    <row r="9" spans="1:6" ht="12.75">
      <c r="A9" s="30"/>
      <c r="B9" s="33"/>
      <c r="C9" s="29"/>
      <c r="D9" s="32" t="e">
        <f>IF(SUM(A6:A8)&gt;0,IF(D8="один "," мільйон ",IF(OR(OR(D8="два ",D8="три "),D8="чотири ")," мільйона "," мільйонів "))," ")</f>
        <v>#REF!</v>
      </c>
      <c r="E9" s="31" t="e">
        <f>LEN(TRIM(D2&amp;D3&amp;D4&amp;D5&amp;D6&amp;D7&amp;D8&amp;D9))</f>
        <v>#REF!</v>
      </c>
      <c r="F9" s="29"/>
    </row>
    <row r="10" spans="1:6" ht="12.75">
      <c r="A10" s="30" t="e">
        <f>VALUE(MID($B$1,7,1))</f>
        <v>#REF!</v>
      </c>
      <c r="B10" s="31" t="s">
        <v>40</v>
      </c>
      <c r="C10" s="29"/>
      <c r="D10" s="32" t="e">
        <f>IF(A10&gt;0,INDEX(E25:F34,A10+1,1)," ")</f>
        <v>#REF!</v>
      </c>
      <c r="E10" s="31" t="e">
        <f>LEN(TRIM(D2&amp;D3&amp;D4&amp;D5&amp;D6&amp;D7&amp;D8&amp;D9&amp;D10))</f>
        <v>#REF!</v>
      </c>
      <c r="F10" s="29"/>
    </row>
    <row r="11" spans="1:6" ht="12.75">
      <c r="A11" s="30" t="e">
        <f>VALUE(MID($B$1,8,1))</f>
        <v>#REF!</v>
      </c>
      <c r="B11" s="31" t="s">
        <v>41</v>
      </c>
      <c r="C11" s="29"/>
      <c r="D11" s="32" t="e">
        <f>IF(A11&gt;1,INDEX(D25:E34,A11+1,1)," ")</f>
        <v>#REF!</v>
      </c>
      <c r="E11" s="31" t="e">
        <f>LEN(TRIM(D2&amp;D3&amp;D4&amp;D5&amp;D6&amp;D7&amp;D8&amp;D9&amp;D10&amp;D11))</f>
        <v>#REF!</v>
      </c>
      <c r="F11" s="29"/>
    </row>
    <row r="12" spans="1:6" ht="12.75">
      <c r="A12" s="30" t="e">
        <f>VALUE(MID($B$1,9,1))</f>
        <v>#REF!</v>
      </c>
      <c r="B12" s="31" t="s">
        <v>42</v>
      </c>
      <c r="C12" s="29"/>
      <c r="D12" s="32" t="e">
        <f>IF(AND(A11&lt;2,(A11+A12)&gt;0),INDEX(C25:C44,A12+A11*10+1,1),INDEX(C25:C44,A12+1,1))</f>
        <v>#REF!</v>
      </c>
      <c r="E12" s="31" t="e">
        <f>LEN(TRIM(D2&amp;D3&amp;D4&amp;D5&amp;D6&amp;D7&amp;D8&amp;D9&amp;D10&amp;D11&amp;D12))</f>
        <v>#REF!</v>
      </c>
      <c r="F12" s="29"/>
    </row>
    <row r="13" spans="1:6" ht="12.75">
      <c r="A13" s="30"/>
      <c r="B13" s="33"/>
      <c r="C13" s="29"/>
      <c r="D13" s="32" t="e">
        <f>IF(SUM(A10:A12)&gt;0,IF(D12="одна "," тисяча ",IF(OR(OR(D12="дві ",D12="три "),D12="чотири ")," тисячі "," тисяч "))," ")</f>
        <v>#REF!</v>
      </c>
      <c r="E13" s="31" t="e">
        <f>LEN(TRIM(D2&amp;D3&amp;D4&amp;D5&amp;D6&amp;D7&amp;D8&amp;D9&amp;D10&amp;D11&amp;D12&amp;D13))</f>
        <v>#REF!</v>
      </c>
      <c r="F13" s="29"/>
    </row>
    <row r="14" spans="1:6" ht="12.75">
      <c r="A14" s="30" t="e">
        <f>VALUE(MID($B$1,10,1))</f>
        <v>#REF!</v>
      </c>
      <c r="B14" s="31" t="s">
        <v>43</v>
      </c>
      <c r="C14" s="29"/>
      <c r="D14" s="32" t="e">
        <f>IF(A14&gt;0,INDEX(E25:F34,A14+1,1)," ")</f>
        <v>#REF!</v>
      </c>
      <c r="E14" s="31" t="e">
        <f>LEN(TRIM(D2&amp;D3&amp;D4&amp;D5&amp;D6&amp;D7&amp;D8&amp;D9&amp;D10&amp;D11&amp;D12&amp;D13&amp;D14))</f>
        <v>#REF!</v>
      </c>
      <c r="F14" s="29"/>
    </row>
    <row r="15" spans="1:6" ht="12.75">
      <c r="A15" s="30" t="e">
        <f>VALUE(MID($B$1,11,1))</f>
        <v>#REF!</v>
      </c>
      <c r="B15" s="31" t="s">
        <v>44</v>
      </c>
      <c r="C15" s="29"/>
      <c r="D15" s="32" t="e">
        <f>IF(A15&gt;1,INDEX(D25:E34,A15+1,1)," ")</f>
        <v>#REF!</v>
      </c>
      <c r="E15" s="31" t="e">
        <f>LEN(TRIM(D2&amp;D3&amp;D4&amp;D5&amp;D6&amp;D7&amp;D8&amp;D9&amp;D10&amp;D11&amp;D12&amp;D13&amp;D14&amp;D15))</f>
        <v>#REF!</v>
      </c>
      <c r="F15" s="29"/>
    </row>
    <row r="16" spans="1:6" ht="12.75">
      <c r="A16" s="30" t="e">
        <f>VALUE(MID($B$1,12,1))</f>
        <v>#REF!</v>
      </c>
      <c r="B16" s="31" t="s">
        <v>45</v>
      </c>
      <c r="C16" s="29"/>
      <c r="D16" s="32" t="e">
        <f>IF(AND(A15&lt;2,(A15+A16)&gt;0),INDEX(C25:C44,A16+A15*10+1,1),INDEX(C25:C44,A16+1,1))</f>
        <v>#REF!</v>
      </c>
      <c r="E16" s="31" t="e">
        <f>LEN(TRIM(D2&amp;D3&amp;D4&amp;D5&amp;D6&amp;D7&amp;D8&amp;D9&amp;D10&amp;D11&amp;D12&amp;D13&amp;D14&amp;D15&amp;D16))</f>
        <v>#REF!</v>
      </c>
      <c r="F16" s="29"/>
    </row>
    <row r="17" spans="1:6" ht="12.75">
      <c r="A17" s="29"/>
      <c r="B17" s="34" t="e">
        <f>" "&amp;IF(B32="YES",IF((A15*10+A16)&gt;0,INDEX(B48:B146,A15*10+A16,1)," гривень")," грн.")&amp;IF(B33="YES",LEFT(D17,4)&amp;INDEX(C47:C146,(A1-INT(A1))*100+1,1)," грн."&amp;D17)</f>
        <v>#REF!</v>
      </c>
      <c r="C17" s="29"/>
      <c r="D17" s="32" t="e">
        <f>" "&amp;RIGHT("00"&amp;FIXED((A1-INT(A1))*100,0),2)&amp;" коп."</f>
        <v>#REF!</v>
      </c>
      <c r="E17" s="31" t="e">
        <f>LEN(TRIM(D2&amp;D3&amp;D4&amp;D5&amp;D6&amp;D7&amp;D8&amp;D9&amp;D10&amp;D11&amp;D12&amp;D13&amp;D14&amp;D15&amp;D16&amp;B17))</f>
        <v>#REF!</v>
      </c>
      <c r="F17" s="29"/>
    </row>
    <row r="18" spans="1:6" ht="12.75">
      <c r="A18" s="35" t="s">
        <v>46</v>
      </c>
      <c r="B18" s="36" t="e">
        <f>TRIM(+D2&amp;D3&amp;D4&amp;D5&amp;D6&amp;D7&amp;D8&amp;D9&amp;D10&amp;D11&amp;D12&amp;D13&amp;D14&amp;D15&amp;D16)</f>
        <v>#REF!</v>
      </c>
      <c r="C18" s="37"/>
      <c r="D18" s="37"/>
      <c r="E18" s="37"/>
      <c r="F18" s="29"/>
    </row>
    <row r="19" spans="1:6" ht="12.75">
      <c r="A19" s="38" t="s">
        <v>47</v>
      </c>
      <c r="B19" s="39" t="e">
        <f>TRIM(+D2&amp;D3&amp;D4&amp;D5&amp;D6&amp;D7&amp;D8&amp;D9&amp;D10&amp;D11&amp;D12&amp;D13&amp;D14&amp;D15&amp;D16)&amp;B17</f>
        <v>#REF!</v>
      </c>
      <c r="C19" s="29"/>
      <c r="D19" s="29"/>
      <c r="E19" s="29"/>
      <c r="F19" s="29"/>
    </row>
    <row r="20" spans="1:6" ht="12.75">
      <c r="A20" s="38" t="s">
        <v>46</v>
      </c>
      <c r="B20" s="40" t="e">
        <f>REPLACE(B19,1,1,IF(LEFT(B19,1)="ч","Ч",PROPER(LEFT(B19,1))))</f>
        <v>#REF!</v>
      </c>
      <c r="C20" s="41"/>
      <c r="D20" s="41"/>
      <c r="E20" s="41"/>
      <c r="F20" s="29"/>
    </row>
    <row r="21" spans="1:6" ht="12.75">
      <c r="A21" s="42" t="e">
        <f>LEFT(B20,VLOOKUP(+B34,E2:E17,1))</f>
        <v>#REF!</v>
      </c>
      <c r="B21" s="42"/>
      <c r="C21" s="42"/>
      <c r="D21" s="42"/>
      <c r="E21" s="42"/>
      <c r="F21" s="29"/>
    </row>
    <row r="22" spans="1:6" ht="12.75">
      <c r="A22" s="42" t="e">
        <f>TRIM(RIGHT(B20,LEN(B20)-LEN(A21)))</f>
        <v>#REF!</v>
      </c>
      <c r="B22" s="42"/>
      <c r="C22" s="42"/>
      <c r="D22" s="42"/>
      <c r="E22" s="42"/>
      <c r="F22" s="29"/>
    </row>
    <row r="23" spans="1:6" ht="12.75">
      <c r="A23" s="41"/>
      <c r="B23" s="41"/>
      <c r="C23" s="41"/>
      <c r="D23" s="41"/>
      <c r="E23" s="41"/>
      <c r="F23" s="29"/>
    </row>
    <row r="24" spans="1:6" ht="12.75">
      <c r="A24" s="43" t="s">
        <v>48</v>
      </c>
      <c r="B24" s="44"/>
      <c r="C24" s="45" t="s">
        <v>49</v>
      </c>
      <c r="D24" s="45" t="s">
        <v>50</v>
      </c>
      <c r="E24" s="45" t="s">
        <v>51</v>
      </c>
      <c r="F24" s="45" t="s">
        <v>52</v>
      </c>
    </row>
    <row r="25" spans="1:6" ht="12.75">
      <c r="A25" s="46" t="s">
        <v>53</v>
      </c>
      <c r="B25" s="47"/>
      <c r="C25" s="48" t="s">
        <v>54</v>
      </c>
      <c r="D25" s="48" t="s">
        <v>54</v>
      </c>
      <c r="E25" s="49" t="s">
        <v>54</v>
      </c>
      <c r="F25" s="48" t="s">
        <v>54</v>
      </c>
    </row>
    <row r="26" spans="1:6" ht="12.75">
      <c r="A26" s="50" t="s">
        <v>55</v>
      </c>
      <c r="B26" s="29"/>
      <c r="C26" s="51" t="s">
        <v>56</v>
      </c>
      <c r="D26" s="51" t="s">
        <v>57</v>
      </c>
      <c r="E26" s="31" t="s">
        <v>58</v>
      </c>
      <c r="F26" s="51" t="s">
        <v>59</v>
      </c>
    </row>
    <row r="27" spans="1:6" ht="12.75">
      <c r="A27" s="52" t="s">
        <v>60</v>
      </c>
      <c r="B27" s="53"/>
      <c r="C27" s="51" t="s">
        <v>61</v>
      </c>
      <c r="D27" s="51" t="s">
        <v>62</v>
      </c>
      <c r="E27" s="31" t="s">
        <v>63</v>
      </c>
      <c r="F27" s="51" t="s">
        <v>64</v>
      </c>
    </row>
    <row r="28" spans="1:6" ht="12.75">
      <c r="A28" s="53"/>
      <c r="B28" s="53"/>
      <c r="C28" s="51" t="s">
        <v>65</v>
      </c>
      <c r="D28" s="51" t="s">
        <v>66</v>
      </c>
      <c r="E28" s="31" t="s">
        <v>67</v>
      </c>
      <c r="F28" s="51" t="s">
        <v>65</v>
      </c>
    </row>
    <row r="29" spans="1:6" ht="12.75">
      <c r="A29" s="53"/>
      <c r="B29" s="54"/>
      <c r="C29" s="51" t="s">
        <v>68</v>
      </c>
      <c r="D29" s="51" t="s">
        <v>69</v>
      </c>
      <c r="E29" s="31" t="s">
        <v>70</v>
      </c>
      <c r="F29" s="51" t="s">
        <v>68</v>
      </c>
    </row>
    <row r="30" spans="1:6" ht="12.75">
      <c r="A30" s="53"/>
      <c r="B30" s="53"/>
      <c r="C30" s="51" t="s">
        <v>71</v>
      </c>
      <c r="D30" s="51" t="s">
        <v>72</v>
      </c>
      <c r="E30" s="31" t="s">
        <v>73</v>
      </c>
      <c r="F30" s="51" t="s">
        <v>71</v>
      </c>
    </row>
    <row r="31" spans="1:6" ht="12.75" customHeight="1">
      <c r="A31" s="93" t="s">
        <v>74</v>
      </c>
      <c r="B31" s="93"/>
      <c r="C31" s="51" t="s">
        <v>75</v>
      </c>
      <c r="D31" s="51" t="s">
        <v>76</v>
      </c>
      <c r="E31" s="31" t="s">
        <v>77</v>
      </c>
      <c r="F31" s="51" t="s">
        <v>75</v>
      </c>
    </row>
    <row r="32" spans="1:6" ht="12.75">
      <c r="A32" s="55" t="s">
        <v>78</v>
      </c>
      <c r="B32" s="56" t="s">
        <v>79</v>
      </c>
      <c r="C32" s="51" t="s">
        <v>80</v>
      </c>
      <c r="D32" s="51" t="s">
        <v>81</v>
      </c>
      <c r="E32" s="31" t="s">
        <v>82</v>
      </c>
      <c r="F32" s="51" t="s">
        <v>80</v>
      </c>
    </row>
    <row r="33" spans="1:6" ht="12.75">
      <c r="A33" s="55" t="s">
        <v>83</v>
      </c>
      <c r="B33" s="56" t="s">
        <v>79</v>
      </c>
      <c r="C33" s="51" t="s">
        <v>84</v>
      </c>
      <c r="D33" s="51" t="s">
        <v>85</v>
      </c>
      <c r="E33" s="31" t="s">
        <v>86</v>
      </c>
      <c r="F33" s="51" t="s">
        <v>84</v>
      </c>
    </row>
    <row r="34" spans="1:6" ht="12.75">
      <c r="A34" s="57" t="s">
        <v>87</v>
      </c>
      <c r="B34" s="58">
        <v>95</v>
      </c>
      <c r="C34" s="51" t="s">
        <v>88</v>
      </c>
      <c r="D34" s="59" t="s">
        <v>89</v>
      </c>
      <c r="E34" s="60" t="s">
        <v>90</v>
      </c>
      <c r="F34" s="51" t="s">
        <v>88</v>
      </c>
    </row>
    <row r="35" spans="1:6" ht="12.75">
      <c r="A35" s="29"/>
      <c r="B35" s="29"/>
      <c r="C35" s="51" t="s">
        <v>57</v>
      </c>
      <c r="D35" s="39"/>
      <c r="E35" s="39"/>
      <c r="F35" s="51" t="s">
        <v>57</v>
      </c>
    </row>
    <row r="36" spans="1:6" ht="12.75">
      <c r="A36" s="29"/>
      <c r="B36" s="29"/>
      <c r="C36" s="51" t="s">
        <v>91</v>
      </c>
      <c r="D36" s="39"/>
      <c r="E36" s="39"/>
      <c r="F36" s="51" t="s">
        <v>91</v>
      </c>
    </row>
    <row r="37" spans="1:6" ht="12.75">
      <c r="A37" s="29"/>
      <c r="B37" s="29"/>
      <c r="C37" s="51" t="s">
        <v>92</v>
      </c>
      <c r="D37" s="39"/>
      <c r="E37" s="39"/>
      <c r="F37" s="51" t="s">
        <v>92</v>
      </c>
    </row>
    <row r="38" spans="1:6" ht="12.75">
      <c r="A38" s="29"/>
      <c r="B38" s="29"/>
      <c r="C38" s="51" t="s">
        <v>93</v>
      </c>
      <c r="D38" s="39"/>
      <c r="E38" s="39"/>
      <c r="F38" s="51" t="s">
        <v>93</v>
      </c>
    </row>
    <row r="39" spans="1:6" ht="12.75">
      <c r="A39" s="29"/>
      <c r="B39" s="29"/>
      <c r="C39" s="51" t="s">
        <v>94</v>
      </c>
      <c r="D39" s="39"/>
      <c r="E39" s="39"/>
      <c r="F39" s="51" t="s">
        <v>94</v>
      </c>
    </row>
    <row r="40" spans="1:6" ht="12.75">
      <c r="A40" s="29"/>
      <c r="B40" s="29"/>
      <c r="C40" s="51" t="s">
        <v>95</v>
      </c>
      <c r="D40" s="39"/>
      <c r="E40" s="39"/>
      <c r="F40" s="51" t="s">
        <v>95</v>
      </c>
    </row>
    <row r="41" spans="1:6" ht="12.75">
      <c r="A41" s="29"/>
      <c r="B41" s="29"/>
      <c r="C41" s="51" t="s">
        <v>96</v>
      </c>
      <c r="D41" s="39"/>
      <c r="E41" s="39"/>
      <c r="F41" s="51" t="s">
        <v>96</v>
      </c>
    </row>
    <row r="42" spans="1:6" ht="12.75">
      <c r="A42" s="29"/>
      <c r="B42" s="29"/>
      <c r="C42" s="51" t="s">
        <v>97</v>
      </c>
      <c r="D42" s="39"/>
      <c r="E42" s="39"/>
      <c r="F42" s="51" t="s">
        <v>97</v>
      </c>
    </row>
    <row r="43" spans="1:6" ht="12.75">
      <c r="A43" s="29"/>
      <c r="B43" s="29"/>
      <c r="C43" s="51" t="s">
        <v>98</v>
      </c>
      <c r="D43" s="39"/>
      <c r="E43" s="39"/>
      <c r="F43" s="51" t="s">
        <v>98</v>
      </c>
    </row>
    <row r="44" spans="1:6" ht="12.75">
      <c r="A44" s="29"/>
      <c r="B44" s="29"/>
      <c r="C44" s="59" t="s">
        <v>99</v>
      </c>
      <c r="D44" s="39"/>
      <c r="E44" s="39"/>
      <c r="F44" s="59" t="s">
        <v>99</v>
      </c>
    </row>
    <row r="45" spans="1:6" ht="12.75">
      <c r="A45" s="29"/>
      <c r="B45" s="29"/>
      <c r="C45" s="61"/>
      <c r="D45" s="39"/>
      <c r="E45" s="39"/>
      <c r="F45" s="61"/>
    </row>
    <row r="46" spans="1:6" ht="12.75">
      <c r="A46" s="29"/>
      <c r="B46" s="45" t="s">
        <v>100</v>
      </c>
      <c r="C46" s="45" t="s">
        <v>101</v>
      </c>
      <c r="D46" s="29"/>
      <c r="E46" s="29"/>
      <c r="F46" s="47"/>
    </row>
    <row r="47" spans="1:6" ht="12.75">
      <c r="A47" s="39">
        <v>0</v>
      </c>
      <c r="B47" s="62"/>
      <c r="C47" s="63" t="s">
        <v>102</v>
      </c>
      <c r="D47" s="29"/>
      <c r="E47" s="29"/>
      <c r="F47" s="47"/>
    </row>
    <row r="48" spans="1:3" ht="12.75">
      <c r="A48" s="64">
        <v>1</v>
      </c>
      <c r="B48" s="65" t="s">
        <v>103</v>
      </c>
      <c r="C48" s="65" t="s">
        <v>104</v>
      </c>
    </row>
    <row r="49" spans="1:3" ht="12.75">
      <c r="A49" s="64">
        <v>2</v>
      </c>
      <c r="B49" s="65" t="s">
        <v>105</v>
      </c>
      <c r="C49" s="65" t="s">
        <v>106</v>
      </c>
    </row>
    <row r="50" spans="1:3" ht="12.75">
      <c r="A50" s="64">
        <v>3</v>
      </c>
      <c r="B50" s="65" t="s">
        <v>105</v>
      </c>
      <c r="C50" s="65" t="s">
        <v>106</v>
      </c>
    </row>
    <row r="51" spans="1:3" ht="12.75">
      <c r="A51" s="64">
        <v>4</v>
      </c>
      <c r="B51" s="65" t="s">
        <v>105</v>
      </c>
      <c r="C51" s="65" t="s">
        <v>106</v>
      </c>
    </row>
    <row r="52" spans="1:3" ht="12.75">
      <c r="A52" s="64">
        <v>5</v>
      </c>
      <c r="B52" s="65" t="s">
        <v>107</v>
      </c>
      <c r="C52" s="65" t="s">
        <v>102</v>
      </c>
    </row>
    <row r="53" spans="1:3" ht="12.75">
      <c r="A53" s="64">
        <v>6</v>
      </c>
      <c r="B53" s="65" t="s">
        <v>107</v>
      </c>
      <c r="C53" s="65" t="s">
        <v>102</v>
      </c>
    </row>
    <row r="54" spans="1:3" ht="12.75">
      <c r="A54" s="64">
        <v>7</v>
      </c>
      <c r="B54" s="65" t="s">
        <v>107</v>
      </c>
      <c r="C54" s="65" t="s">
        <v>102</v>
      </c>
    </row>
    <row r="55" spans="1:3" ht="12.75">
      <c r="A55" s="64">
        <v>8</v>
      </c>
      <c r="B55" s="65" t="s">
        <v>107</v>
      </c>
      <c r="C55" s="65" t="s">
        <v>102</v>
      </c>
    </row>
    <row r="56" spans="1:3" ht="12.75">
      <c r="A56" s="64">
        <v>9</v>
      </c>
      <c r="B56" s="65" t="s">
        <v>107</v>
      </c>
      <c r="C56" s="65" t="s">
        <v>102</v>
      </c>
    </row>
    <row r="57" spans="1:3" ht="12.75">
      <c r="A57" s="64">
        <v>10</v>
      </c>
      <c r="B57" s="65" t="s">
        <v>107</v>
      </c>
      <c r="C57" s="65" t="s">
        <v>102</v>
      </c>
    </row>
    <row r="58" spans="1:3" ht="12.75">
      <c r="A58" s="64">
        <v>11</v>
      </c>
      <c r="B58" s="65" t="s">
        <v>107</v>
      </c>
      <c r="C58" s="65" t="s">
        <v>102</v>
      </c>
    </row>
    <row r="59" spans="1:3" ht="12.75">
      <c r="A59" s="64">
        <v>12</v>
      </c>
      <c r="B59" s="65" t="s">
        <v>107</v>
      </c>
      <c r="C59" s="65" t="s">
        <v>102</v>
      </c>
    </row>
    <row r="60" spans="1:3" ht="12.75">
      <c r="A60" s="64">
        <v>13</v>
      </c>
      <c r="B60" s="65" t="s">
        <v>107</v>
      </c>
      <c r="C60" s="65" t="s">
        <v>102</v>
      </c>
    </row>
    <row r="61" spans="1:3" ht="12.75">
      <c r="A61" s="64">
        <v>14</v>
      </c>
      <c r="B61" s="65" t="s">
        <v>107</v>
      </c>
      <c r="C61" s="65" t="s">
        <v>102</v>
      </c>
    </row>
    <row r="62" spans="1:3" ht="12.75">
      <c r="A62" s="64">
        <v>15</v>
      </c>
      <c r="B62" s="65" t="s">
        <v>107</v>
      </c>
      <c r="C62" s="65" t="s">
        <v>102</v>
      </c>
    </row>
    <row r="63" spans="1:3" ht="12.75">
      <c r="A63" s="64">
        <v>16</v>
      </c>
      <c r="B63" s="65" t="s">
        <v>107</v>
      </c>
      <c r="C63" s="65" t="s">
        <v>102</v>
      </c>
    </row>
    <row r="64" spans="1:3" ht="12.75">
      <c r="A64" s="64">
        <v>17</v>
      </c>
      <c r="B64" s="65" t="s">
        <v>107</v>
      </c>
      <c r="C64" s="65" t="s">
        <v>102</v>
      </c>
    </row>
    <row r="65" spans="1:3" ht="12.75">
      <c r="A65" s="64">
        <v>18</v>
      </c>
      <c r="B65" s="65" t="s">
        <v>107</v>
      </c>
      <c r="C65" s="65" t="s">
        <v>102</v>
      </c>
    </row>
    <row r="66" spans="1:3" ht="12.75">
      <c r="A66" s="64">
        <v>19</v>
      </c>
      <c r="B66" s="65" t="s">
        <v>107</v>
      </c>
      <c r="C66" s="65" t="s">
        <v>102</v>
      </c>
    </row>
    <row r="67" spans="1:3" ht="12.75">
      <c r="A67" s="64">
        <v>20</v>
      </c>
      <c r="B67" s="65" t="s">
        <v>107</v>
      </c>
      <c r="C67" s="65" t="s">
        <v>102</v>
      </c>
    </row>
    <row r="68" spans="1:3" ht="12.75">
      <c r="A68" s="64">
        <v>21</v>
      </c>
      <c r="B68" s="65" t="s">
        <v>103</v>
      </c>
      <c r="C68" s="65" t="s">
        <v>104</v>
      </c>
    </row>
    <row r="69" spans="1:3" ht="12.75">
      <c r="A69" s="64">
        <v>22</v>
      </c>
      <c r="B69" s="65" t="s">
        <v>105</v>
      </c>
      <c r="C69" s="65" t="s">
        <v>106</v>
      </c>
    </row>
    <row r="70" spans="1:3" ht="12.75">
      <c r="A70" s="64">
        <v>23</v>
      </c>
      <c r="B70" s="65" t="s">
        <v>105</v>
      </c>
      <c r="C70" s="65" t="s">
        <v>106</v>
      </c>
    </row>
    <row r="71" spans="1:3" ht="12.75">
      <c r="A71" s="64">
        <v>24</v>
      </c>
      <c r="B71" s="65" t="s">
        <v>105</v>
      </c>
      <c r="C71" s="65" t="s">
        <v>106</v>
      </c>
    </row>
    <row r="72" spans="1:3" ht="12.75">
      <c r="A72" s="64">
        <v>25</v>
      </c>
      <c r="B72" s="65" t="s">
        <v>107</v>
      </c>
      <c r="C72" s="65" t="s">
        <v>102</v>
      </c>
    </row>
    <row r="73" spans="1:3" ht="12.75">
      <c r="A73" s="64">
        <v>26</v>
      </c>
      <c r="B73" s="65" t="s">
        <v>107</v>
      </c>
      <c r="C73" s="65" t="s">
        <v>102</v>
      </c>
    </row>
    <row r="74" spans="1:3" ht="12.75">
      <c r="A74" s="64">
        <v>27</v>
      </c>
      <c r="B74" s="65" t="s">
        <v>107</v>
      </c>
      <c r="C74" s="65" t="s">
        <v>102</v>
      </c>
    </row>
    <row r="75" spans="1:3" ht="12.75">
      <c r="A75" s="64">
        <v>28</v>
      </c>
      <c r="B75" s="65" t="s">
        <v>107</v>
      </c>
      <c r="C75" s="65" t="s">
        <v>102</v>
      </c>
    </row>
    <row r="76" spans="1:3" ht="12.75">
      <c r="A76" s="64">
        <v>29</v>
      </c>
      <c r="B76" s="65" t="s">
        <v>107</v>
      </c>
      <c r="C76" s="65" t="s">
        <v>102</v>
      </c>
    </row>
    <row r="77" spans="1:3" ht="12.75">
      <c r="A77" s="64">
        <v>30</v>
      </c>
      <c r="B77" s="65" t="s">
        <v>107</v>
      </c>
      <c r="C77" s="65" t="s">
        <v>102</v>
      </c>
    </row>
    <row r="78" spans="1:3" ht="12.75">
      <c r="A78" s="64">
        <v>31</v>
      </c>
      <c r="B78" s="65" t="s">
        <v>103</v>
      </c>
      <c r="C78" s="65" t="s">
        <v>104</v>
      </c>
    </row>
    <row r="79" spans="1:3" ht="12.75">
      <c r="A79" s="64">
        <v>32</v>
      </c>
      <c r="B79" s="65" t="s">
        <v>105</v>
      </c>
      <c r="C79" s="65" t="s">
        <v>106</v>
      </c>
    </row>
    <row r="80" spans="1:3" ht="12.75">
      <c r="A80" s="64">
        <v>33</v>
      </c>
      <c r="B80" s="65" t="s">
        <v>105</v>
      </c>
      <c r="C80" s="65" t="s">
        <v>106</v>
      </c>
    </row>
    <row r="81" spans="1:3" ht="12.75">
      <c r="A81" s="64">
        <v>34</v>
      </c>
      <c r="B81" s="65" t="s">
        <v>105</v>
      </c>
      <c r="C81" s="65" t="s">
        <v>106</v>
      </c>
    </row>
    <row r="82" spans="1:3" ht="12.75">
      <c r="A82" s="64">
        <v>35</v>
      </c>
      <c r="B82" s="65" t="s">
        <v>107</v>
      </c>
      <c r="C82" s="65" t="s">
        <v>102</v>
      </c>
    </row>
    <row r="83" spans="1:3" ht="12.75">
      <c r="A83" s="64">
        <v>36</v>
      </c>
      <c r="B83" s="65" t="s">
        <v>107</v>
      </c>
      <c r="C83" s="65" t="s">
        <v>102</v>
      </c>
    </row>
    <row r="84" spans="1:3" ht="12.75">
      <c r="A84" s="64">
        <v>37</v>
      </c>
      <c r="B84" s="65" t="s">
        <v>107</v>
      </c>
      <c r="C84" s="65" t="s">
        <v>102</v>
      </c>
    </row>
    <row r="85" spans="1:3" ht="12.75">
      <c r="A85" s="64">
        <v>38</v>
      </c>
      <c r="B85" s="65" t="s">
        <v>107</v>
      </c>
      <c r="C85" s="65" t="s">
        <v>102</v>
      </c>
    </row>
    <row r="86" spans="1:3" ht="12.75">
      <c r="A86" s="64">
        <v>39</v>
      </c>
      <c r="B86" s="65" t="s">
        <v>107</v>
      </c>
      <c r="C86" s="65" t="s">
        <v>102</v>
      </c>
    </row>
    <row r="87" spans="1:3" ht="12.75">
      <c r="A87" s="64">
        <v>40</v>
      </c>
      <c r="B87" s="65" t="s">
        <v>107</v>
      </c>
      <c r="C87" s="65" t="s">
        <v>102</v>
      </c>
    </row>
    <row r="88" spans="1:3" ht="12.75">
      <c r="A88" s="64">
        <v>41</v>
      </c>
      <c r="B88" s="65" t="s">
        <v>103</v>
      </c>
      <c r="C88" s="65" t="s">
        <v>104</v>
      </c>
    </row>
    <row r="89" spans="1:3" ht="12.75">
      <c r="A89" s="64">
        <v>42</v>
      </c>
      <c r="B89" s="65" t="s">
        <v>105</v>
      </c>
      <c r="C89" s="65" t="s">
        <v>106</v>
      </c>
    </row>
    <row r="90" spans="1:3" ht="12.75">
      <c r="A90" s="64">
        <v>43</v>
      </c>
      <c r="B90" s="65" t="s">
        <v>105</v>
      </c>
      <c r="C90" s="65" t="s">
        <v>106</v>
      </c>
    </row>
    <row r="91" spans="1:3" ht="12.75">
      <c r="A91" s="64">
        <v>44</v>
      </c>
      <c r="B91" s="65" t="s">
        <v>105</v>
      </c>
      <c r="C91" s="65" t="s">
        <v>106</v>
      </c>
    </row>
    <row r="92" spans="1:3" ht="12.75">
      <c r="A92" s="64">
        <v>45</v>
      </c>
      <c r="B92" s="65" t="s">
        <v>107</v>
      </c>
      <c r="C92" s="65" t="s">
        <v>102</v>
      </c>
    </row>
    <row r="93" spans="1:3" ht="12.75">
      <c r="A93" s="64">
        <v>46</v>
      </c>
      <c r="B93" s="65" t="s">
        <v>107</v>
      </c>
      <c r="C93" s="65" t="s">
        <v>102</v>
      </c>
    </row>
    <row r="94" spans="1:3" ht="12.75">
      <c r="A94" s="64">
        <v>47</v>
      </c>
      <c r="B94" s="65" t="s">
        <v>107</v>
      </c>
      <c r="C94" s="65" t="s">
        <v>102</v>
      </c>
    </row>
    <row r="95" spans="1:3" ht="12.75">
      <c r="A95" s="64">
        <v>48</v>
      </c>
      <c r="B95" s="65" t="s">
        <v>107</v>
      </c>
      <c r="C95" s="65" t="s">
        <v>102</v>
      </c>
    </row>
    <row r="96" spans="1:3" ht="12.75">
      <c r="A96" s="64">
        <v>49</v>
      </c>
      <c r="B96" s="65" t="s">
        <v>107</v>
      </c>
      <c r="C96" s="65" t="s">
        <v>102</v>
      </c>
    </row>
    <row r="97" spans="1:3" ht="12.75">
      <c r="A97" s="64">
        <v>50</v>
      </c>
      <c r="B97" s="65" t="s">
        <v>107</v>
      </c>
      <c r="C97" s="65" t="s">
        <v>102</v>
      </c>
    </row>
    <row r="98" spans="1:3" ht="12.75">
      <c r="A98" s="64">
        <v>51</v>
      </c>
      <c r="B98" s="65" t="s">
        <v>103</v>
      </c>
      <c r="C98" s="65" t="s">
        <v>104</v>
      </c>
    </row>
    <row r="99" spans="1:3" ht="12.75">
      <c r="A99" s="64">
        <v>52</v>
      </c>
      <c r="B99" s="65" t="s">
        <v>105</v>
      </c>
      <c r="C99" s="65" t="s">
        <v>106</v>
      </c>
    </row>
    <row r="100" spans="1:3" ht="12.75">
      <c r="A100" s="64">
        <v>53</v>
      </c>
      <c r="B100" s="65" t="s">
        <v>105</v>
      </c>
      <c r="C100" s="65" t="s">
        <v>106</v>
      </c>
    </row>
    <row r="101" spans="1:3" ht="12.75">
      <c r="A101" s="64">
        <v>54</v>
      </c>
      <c r="B101" s="65" t="s">
        <v>105</v>
      </c>
      <c r="C101" s="65" t="s">
        <v>106</v>
      </c>
    </row>
    <row r="102" spans="1:3" ht="12.75">
      <c r="A102" s="64">
        <v>55</v>
      </c>
      <c r="B102" s="65" t="s">
        <v>107</v>
      </c>
      <c r="C102" s="65" t="s">
        <v>102</v>
      </c>
    </row>
    <row r="103" spans="1:3" ht="12.75">
      <c r="A103" s="64">
        <v>56</v>
      </c>
      <c r="B103" s="65" t="s">
        <v>107</v>
      </c>
      <c r="C103" s="65" t="s">
        <v>102</v>
      </c>
    </row>
    <row r="104" spans="1:3" ht="12.75">
      <c r="A104" s="64">
        <v>57</v>
      </c>
      <c r="B104" s="65" t="s">
        <v>107</v>
      </c>
      <c r="C104" s="65" t="s">
        <v>102</v>
      </c>
    </row>
    <row r="105" spans="1:3" ht="12.75">
      <c r="A105" s="64">
        <v>58</v>
      </c>
      <c r="B105" s="65" t="s">
        <v>107</v>
      </c>
      <c r="C105" s="65" t="s">
        <v>102</v>
      </c>
    </row>
    <row r="106" spans="1:3" ht="12.75">
      <c r="A106" s="64">
        <v>59</v>
      </c>
      <c r="B106" s="65" t="s">
        <v>107</v>
      </c>
      <c r="C106" s="65" t="s">
        <v>102</v>
      </c>
    </row>
    <row r="107" spans="1:3" ht="12.75">
      <c r="A107" s="64">
        <v>60</v>
      </c>
      <c r="B107" s="65" t="s">
        <v>107</v>
      </c>
      <c r="C107" s="65" t="s">
        <v>102</v>
      </c>
    </row>
    <row r="108" spans="1:3" ht="12.75">
      <c r="A108" s="64">
        <v>61</v>
      </c>
      <c r="B108" s="65" t="s">
        <v>103</v>
      </c>
      <c r="C108" s="65" t="s">
        <v>104</v>
      </c>
    </row>
    <row r="109" spans="1:3" ht="12.75">
      <c r="A109" s="64">
        <v>62</v>
      </c>
      <c r="B109" s="65" t="s">
        <v>105</v>
      </c>
      <c r="C109" s="65" t="s">
        <v>106</v>
      </c>
    </row>
    <row r="110" spans="1:3" ht="12.75">
      <c r="A110" s="64">
        <v>63</v>
      </c>
      <c r="B110" s="65" t="s">
        <v>105</v>
      </c>
      <c r="C110" s="65" t="s">
        <v>106</v>
      </c>
    </row>
    <row r="111" spans="1:3" ht="12.75">
      <c r="A111" s="64">
        <v>64</v>
      </c>
      <c r="B111" s="65" t="s">
        <v>105</v>
      </c>
      <c r="C111" s="65" t="s">
        <v>106</v>
      </c>
    </row>
    <row r="112" spans="1:3" ht="12.75">
      <c r="A112" s="64">
        <v>65</v>
      </c>
      <c r="B112" s="65" t="s">
        <v>107</v>
      </c>
      <c r="C112" s="65" t="s">
        <v>102</v>
      </c>
    </row>
    <row r="113" spans="1:3" ht="12.75">
      <c r="A113" s="64">
        <v>66</v>
      </c>
      <c r="B113" s="65" t="s">
        <v>107</v>
      </c>
      <c r="C113" s="65" t="s">
        <v>102</v>
      </c>
    </row>
    <row r="114" spans="1:3" ht="12.75">
      <c r="A114" s="64">
        <v>67</v>
      </c>
      <c r="B114" s="65" t="s">
        <v>107</v>
      </c>
      <c r="C114" s="65" t="s">
        <v>102</v>
      </c>
    </row>
    <row r="115" spans="1:3" ht="12.75">
      <c r="A115" s="64">
        <v>68</v>
      </c>
      <c r="B115" s="65" t="s">
        <v>107</v>
      </c>
      <c r="C115" s="65" t="s">
        <v>102</v>
      </c>
    </row>
    <row r="116" spans="1:3" ht="12.75">
      <c r="A116" s="64">
        <v>69</v>
      </c>
      <c r="B116" s="65" t="s">
        <v>107</v>
      </c>
      <c r="C116" s="65" t="s">
        <v>102</v>
      </c>
    </row>
    <row r="117" spans="1:3" ht="12.75">
      <c r="A117" s="64">
        <v>70</v>
      </c>
      <c r="B117" s="65" t="s">
        <v>107</v>
      </c>
      <c r="C117" s="65" t="s">
        <v>102</v>
      </c>
    </row>
    <row r="118" spans="1:3" ht="12.75">
      <c r="A118" s="64">
        <v>71</v>
      </c>
      <c r="B118" s="65" t="s">
        <v>103</v>
      </c>
      <c r="C118" s="65" t="s">
        <v>104</v>
      </c>
    </row>
    <row r="119" spans="1:3" ht="12.75">
      <c r="A119" s="64">
        <v>72</v>
      </c>
      <c r="B119" s="65" t="s">
        <v>105</v>
      </c>
      <c r="C119" s="65" t="s">
        <v>106</v>
      </c>
    </row>
    <row r="120" spans="1:3" ht="12.75">
      <c r="A120" s="64">
        <v>73</v>
      </c>
      <c r="B120" s="65" t="s">
        <v>105</v>
      </c>
      <c r="C120" s="65" t="s">
        <v>106</v>
      </c>
    </row>
    <row r="121" spans="1:3" ht="12.75">
      <c r="A121" s="64">
        <v>74</v>
      </c>
      <c r="B121" s="65" t="s">
        <v>105</v>
      </c>
      <c r="C121" s="65" t="s">
        <v>106</v>
      </c>
    </row>
    <row r="122" spans="1:3" ht="12.75">
      <c r="A122" s="64">
        <v>75</v>
      </c>
      <c r="B122" s="65" t="s">
        <v>107</v>
      </c>
      <c r="C122" s="65" t="s">
        <v>102</v>
      </c>
    </row>
    <row r="123" spans="1:3" ht="12.75">
      <c r="A123" s="64">
        <v>76</v>
      </c>
      <c r="B123" s="65" t="s">
        <v>107</v>
      </c>
      <c r="C123" s="65" t="s">
        <v>102</v>
      </c>
    </row>
    <row r="124" spans="1:3" ht="12.75">
      <c r="A124" s="64">
        <v>77</v>
      </c>
      <c r="B124" s="65" t="s">
        <v>107</v>
      </c>
      <c r="C124" s="65" t="s">
        <v>102</v>
      </c>
    </row>
    <row r="125" spans="1:3" ht="12.75">
      <c r="A125" s="64">
        <v>78</v>
      </c>
      <c r="B125" s="65" t="s">
        <v>107</v>
      </c>
      <c r="C125" s="65" t="s">
        <v>102</v>
      </c>
    </row>
    <row r="126" spans="1:3" ht="12.75">
      <c r="A126" s="64">
        <v>79</v>
      </c>
      <c r="B126" s="65" t="s">
        <v>107</v>
      </c>
      <c r="C126" s="65" t="s">
        <v>102</v>
      </c>
    </row>
    <row r="127" spans="1:3" ht="12.75">
      <c r="A127" s="64">
        <v>80</v>
      </c>
      <c r="B127" s="65" t="s">
        <v>107</v>
      </c>
      <c r="C127" s="65" t="s">
        <v>102</v>
      </c>
    </row>
    <row r="128" spans="1:3" ht="12.75">
      <c r="A128" s="64">
        <v>81</v>
      </c>
      <c r="B128" s="65" t="s">
        <v>103</v>
      </c>
      <c r="C128" s="65" t="s">
        <v>104</v>
      </c>
    </row>
    <row r="129" spans="1:3" ht="12.75">
      <c r="A129" s="64">
        <v>82</v>
      </c>
      <c r="B129" s="65" t="s">
        <v>105</v>
      </c>
      <c r="C129" s="65" t="s">
        <v>106</v>
      </c>
    </row>
    <row r="130" spans="1:3" ht="12.75">
      <c r="A130" s="64">
        <v>83</v>
      </c>
      <c r="B130" s="65" t="s">
        <v>105</v>
      </c>
      <c r="C130" s="65" t="s">
        <v>106</v>
      </c>
    </row>
    <row r="131" spans="1:3" ht="12.75">
      <c r="A131" s="64">
        <v>84</v>
      </c>
      <c r="B131" s="65" t="s">
        <v>105</v>
      </c>
      <c r="C131" s="65" t="s">
        <v>106</v>
      </c>
    </row>
    <row r="132" spans="1:3" ht="12.75">
      <c r="A132" s="64">
        <v>85</v>
      </c>
      <c r="B132" s="65" t="s">
        <v>107</v>
      </c>
      <c r="C132" s="65" t="s">
        <v>102</v>
      </c>
    </row>
    <row r="133" spans="1:3" ht="12.75">
      <c r="A133" s="64">
        <v>86</v>
      </c>
      <c r="B133" s="65" t="s">
        <v>107</v>
      </c>
      <c r="C133" s="65" t="s">
        <v>102</v>
      </c>
    </row>
    <row r="134" spans="1:3" ht="12.75">
      <c r="A134" s="64">
        <v>87</v>
      </c>
      <c r="B134" s="65" t="s">
        <v>107</v>
      </c>
      <c r="C134" s="65" t="s">
        <v>102</v>
      </c>
    </row>
    <row r="135" spans="1:3" ht="12.75">
      <c r="A135" s="64">
        <v>88</v>
      </c>
      <c r="B135" s="65" t="s">
        <v>107</v>
      </c>
      <c r="C135" s="65" t="s">
        <v>102</v>
      </c>
    </row>
    <row r="136" spans="1:3" ht="12.75">
      <c r="A136" s="64">
        <v>89</v>
      </c>
      <c r="B136" s="65" t="s">
        <v>107</v>
      </c>
      <c r="C136" s="65" t="s">
        <v>102</v>
      </c>
    </row>
    <row r="137" spans="1:3" ht="12.75">
      <c r="A137" s="64">
        <v>90</v>
      </c>
      <c r="B137" s="65" t="s">
        <v>107</v>
      </c>
      <c r="C137" s="65" t="s">
        <v>102</v>
      </c>
    </row>
    <row r="138" spans="1:3" ht="12.75">
      <c r="A138" s="64">
        <v>91</v>
      </c>
      <c r="B138" s="65" t="s">
        <v>103</v>
      </c>
      <c r="C138" s="65" t="s">
        <v>104</v>
      </c>
    </row>
    <row r="139" spans="1:3" ht="12.75">
      <c r="A139" s="64">
        <v>92</v>
      </c>
      <c r="B139" s="65" t="s">
        <v>105</v>
      </c>
      <c r="C139" s="65" t="s">
        <v>106</v>
      </c>
    </row>
    <row r="140" spans="1:3" ht="12.75">
      <c r="A140" s="64">
        <v>93</v>
      </c>
      <c r="B140" s="65" t="s">
        <v>105</v>
      </c>
      <c r="C140" s="65" t="s">
        <v>106</v>
      </c>
    </row>
    <row r="141" spans="1:3" ht="12.75">
      <c r="A141" s="64">
        <v>94</v>
      </c>
      <c r="B141" s="65" t="s">
        <v>105</v>
      </c>
      <c r="C141" s="65" t="s">
        <v>106</v>
      </c>
    </row>
    <row r="142" spans="1:3" ht="12.75">
      <c r="A142" s="64">
        <v>95</v>
      </c>
      <c r="B142" s="65" t="s">
        <v>107</v>
      </c>
      <c r="C142" s="65" t="s">
        <v>102</v>
      </c>
    </row>
    <row r="143" spans="1:3" ht="12.75">
      <c r="A143" s="64">
        <v>96</v>
      </c>
      <c r="B143" s="65" t="s">
        <v>107</v>
      </c>
      <c r="C143" s="65" t="s">
        <v>102</v>
      </c>
    </row>
    <row r="144" spans="1:3" ht="12.75">
      <c r="A144" s="64">
        <v>97</v>
      </c>
      <c r="B144" s="65" t="s">
        <v>107</v>
      </c>
      <c r="C144" s="65" t="s">
        <v>102</v>
      </c>
    </row>
    <row r="145" spans="1:3" ht="12.75">
      <c r="A145" s="64">
        <v>98</v>
      </c>
      <c r="B145" s="65" t="s">
        <v>107</v>
      </c>
      <c r="C145" s="65" t="s">
        <v>102</v>
      </c>
    </row>
    <row r="146" spans="1:3" ht="12.75">
      <c r="A146" s="64">
        <v>99</v>
      </c>
      <c r="B146" s="66" t="s">
        <v>107</v>
      </c>
      <c r="C146" s="66" t="s">
        <v>102</v>
      </c>
    </row>
  </sheetData>
  <sheetProtection sheet="1"/>
  <mergeCells count="1">
    <mergeCell ref="A31:B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2019-01-03T12:14:49Z</cp:lastPrinted>
  <dcterms:created xsi:type="dcterms:W3CDTF">2016-04-13T13:08:21Z</dcterms:created>
  <dcterms:modified xsi:type="dcterms:W3CDTF">2019-01-21T11:48:09Z</dcterms:modified>
  <cp:category/>
  <cp:version/>
  <cp:contentType/>
  <cp:contentStatus/>
</cp:coreProperties>
</file>